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8" yWindow="65428" windowWidth="23256" windowHeight="12576" activeTab="0"/>
  </bookViews>
  <sheets>
    <sheet name="60% AMI" sheetId="1" r:id="rId1"/>
    <sheet name="60%&amp;80% AMI" sheetId="2" r:id="rId2"/>
    <sheet name="80% AMI" sheetId="5" r:id="rId3"/>
    <sheet name="Term comparison 60% AMI" sheetId="4" r:id="rId4"/>
  </sheets>
  <definedNames>
    <definedName name="_xlnm.Print_Area" localSheetId="0">'60% AMI'!$C$2:$M$55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<sst xmlns="http://schemas.openxmlformats.org/spreadsheetml/2006/main" count="364" uniqueCount="78">
  <si>
    <t>IH Credit comparisions</t>
  </si>
  <si>
    <t>Units</t>
  </si>
  <si>
    <t>Total Value Impact</t>
  </si>
  <si>
    <t>Assessment</t>
  </si>
  <si>
    <t>IH units</t>
  </si>
  <si>
    <t>AMI</t>
  </si>
  <si>
    <t>Total</t>
  </si>
  <si>
    <t>Unit types</t>
  </si>
  <si>
    <t># IH Units</t>
  </si>
  <si>
    <t>Base Rent</t>
  </si>
  <si>
    <t>Differential</t>
  </si>
  <si>
    <t>Diff/Mo</t>
  </si>
  <si>
    <t>Diff/Yr</t>
  </si>
  <si>
    <t>Studio</t>
  </si>
  <si>
    <t>1br</t>
  </si>
  <si>
    <t>2 br</t>
  </si>
  <si>
    <t>TOTAL</t>
  </si>
  <si>
    <t>Tax Credit Comparision</t>
  </si>
  <si>
    <t>15% Credit Approach</t>
  </si>
  <si>
    <t>Base tax level</t>
  </si>
  <si>
    <t>Incremental Tax Base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</si>
  <si>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</si>
  <si>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</si>
  <si>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</si>
  <si>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</si>
  <si>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</si>
  <si>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</si>
  <si>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</si>
  <si>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</si>
  <si>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</si>
  <si>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</si>
  <si>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</si>
  <si>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</si>
  <si>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</si>
  <si>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</si>
  <si>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</si>
  <si>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</si>
  <si>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</si>
  <si>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</si>
  <si>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</si>
  <si>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</si>
  <si>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</si>
  <si>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</si>
  <si>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</si>
  <si>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</si>
  <si>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</si>
  <si>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</si>
  <si>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</si>
  <si>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</si>
  <si>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</si>
  <si>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</si>
  <si>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Unimproved Value</t>
  </si>
  <si>
    <t>Tax Rate/$100</t>
  </si>
  <si>
    <t>Taxes</t>
  </si>
  <si>
    <t>Improvement Value</t>
  </si>
  <si>
    <t>Tax Rate</t>
  </si>
  <si>
    <t>Credit amount</t>
  </si>
  <si>
    <t>Total Credit 10 Years</t>
  </si>
  <si>
    <t>NPV @ 5%</t>
  </si>
  <si>
    <t>Actual Cost Approach</t>
  </si>
  <si>
    <t>Cost  (2% increase)</t>
  </si>
  <si>
    <t>Total 10 Years</t>
  </si>
  <si>
    <t>Total 30 Years</t>
  </si>
  <si>
    <t>Impact on Value and Tax Revenue</t>
  </si>
  <si>
    <t>Value Loss for IH units</t>
  </si>
  <si>
    <t>Tax Revenue Lost</t>
  </si>
  <si>
    <t>Annual Offset Cost to City</t>
  </si>
  <si>
    <t>Net Cost to City</t>
  </si>
  <si>
    <t>NPV of 15% credit</t>
  </si>
  <si>
    <t>IH Rent 60%*</t>
  </si>
  <si>
    <t>IH Rent 80%*</t>
  </si>
  <si>
    <t>* Unit rent received by Landlord is the HUD gross rental limit minus $100 for utilities for 1br and $120 for 2br units</t>
  </si>
  <si>
    <t>25 Year</t>
  </si>
  <si>
    <t>20 Year</t>
  </si>
  <si>
    <t>30 Year</t>
  </si>
  <si>
    <t>15 Year</t>
  </si>
  <si>
    <t>12 Year</t>
  </si>
  <si>
    <t>Value of the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</si>
</sst>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_);[Red]\(&quot;$&quot;#,##0.000\)"/>
    <numFmt numFmtId="171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2" borderId="0" xfId="0" applyFont="1" applyFill="1"/>
    <xf numFmtId="0" fontId="3" fillId="2" borderId="0" xfId="0" applyFont="1" applyFill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16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3" borderId="0" xfId="0" applyFill="1"/>
    <xf numFmtId="164" fontId="0" fillId="3" borderId="0" xfId="0" applyNumberFormat="1" applyFill="1"/>
    <xf numFmtId="0" fontId="6" fillId="2" borderId="0" xfId="0" applyFont="1" applyFill="1"/>
    <xf numFmtId="6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/>
    <xf numFmtId="165" fontId="9" fillId="0" borderId="0" xfId="16" applyNumberFormat="1" applyFont="1" applyFill="1"/>
    <xf numFmtId="165" fontId="0" fillId="0" borderId="0" xfId="0" applyNumberFormat="1"/>
    <xf numFmtId="164" fontId="9" fillId="0" borderId="0" xfId="16" applyNumberFormat="1" applyFont="1" applyFill="1"/>
    <xf numFmtId="6" fontId="0" fillId="0" borderId="0" xfId="16" applyNumberFormat="1" applyFont="1"/>
    <xf numFmtId="10" fontId="8" fillId="0" borderId="0" xfId="15" applyNumberFormat="1" applyFont="1"/>
    <xf numFmtId="10" fontId="0" fillId="0" borderId="0" xfId="15" applyNumberFormat="1" applyFont="1"/>
    <xf numFmtId="0" fontId="1" fillId="0" borderId="0" xfId="0" applyFont="1"/>
    <xf numFmtId="6" fontId="1" fillId="0" borderId="0" xfId="0" applyNumberFormat="1" applyFont="1"/>
    <xf numFmtId="0" fontId="0" fillId="4" borderId="0" xfId="0" applyFill="1"/>
    <xf numFmtId="6" fontId="0" fillId="4" borderId="0" xfId="0" applyNumberFormat="1" applyFill="1"/>
    <xf numFmtId="0" fontId="4" fillId="2" borderId="0" xfId="0" applyFont="1" applyFill="1"/>
    <xf numFmtId="44" fontId="0" fillId="0" borderId="0" xfId="0" applyNumberFormat="1"/>
    <xf numFmtId="0" fontId="2" fillId="0" borderId="2" xfId="0" applyFont="1" applyBorder="1"/>
    <xf numFmtId="44" fontId="2" fillId="0" borderId="3" xfId="0" applyNumberFormat="1" applyFont="1" applyBorder="1"/>
    <xf numFmtId="44" fontId="2" fillId="0" borderId="4" xfId="0" applyNumberFormat="1" applyFont="1" applyBorder="1"/>
    <xf numFmtId="0" fontId="6" fillId="2" borderId="0" xfId="0" applyFont="1" applyFill="1" quotePrefix="1"/>
    <xf numFmtId="0" fontId="0" fillId="0" borderId="5" xfId="0" applyBorder="1" applyAlignment="1">
      <alignment horizontal="center"/>
    </xf>
    <xf numFmtId="164" fontId="0" fillId="0" borderId="6" xfId="16" applyNumberFormat="1" applyFont="1" applyBorder="1"/>
    <xf numFmtId="164" fontId="0" fillId="0" borderId="7" xfId="16" applyNumberFormat="1" applyFont="1" applyBorder="1"/>
    <xf numFmtId="0" fontId="0" fillId="0" borderId="0" xfId="0" applyAlignment="1">
      <alignment/>
    </xf>
    <xf numFmtId="6" fontId="0" fillId="0" borderId="0" xfId="0" applyNumberFormat="1" applyAlignment="1">
      <alignment horizontal="right"/>
    </xf>
    <xf numFmtId="0" fontId="0" fillId="0" borderId="0" xfId="0" quotePrefix="1"/>
    <xf numFmtId="0" fontId="2" fillId="0" borderId="0" xfId="0" applyFont="1"/>
    <xf numFmtId="6" fontId="2" fillId="0" borderId="0" xfId="16" applyNumberFormat="1" applyFont="1"/>
    <xf numFmtId="0" fontId="0" fillId="0" borderId="0" xfId="0" applyFont="1"/>
    <xf numFmtId="164" fontId="0" fillId="0" borderId="0" xfId="16" applyNumberFormat="1" applyFont="1"/>
    <xf numFmtId="44" fontId="0" fillId="0" borderId="0" xfId="16" applyFont="1"/>
    <xf numFmtId="0" fontId="0" fillId="0" borderId="0" xfId="0" applyFont="1" applyAlignment="1">
      <alignment/>
    </xf>
    <xf numFmtId="171" fontId="0" fillId="0" borderId="0" xfId="18" applyNumberFormat="1" applyFont="1" applyAlignment="1">
      <alignment/>
    </xf>
    <xf numFmtId="171" fontId="0" fillId="0" borderId="0" xfId="0" applyNumberFormat="1" applyAlignment="1">
      <alignment/>
    </xf>
    <xf numFmtId="6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5029-E2F8-4EE4-9612-2592297BDF34}">
  <sheetPr>
    <pageSetUpPr fitToPage="1"/>
  </sheetPr>
  <dimension ref="C1:AG55"/>
  <sheetViews>
    <sheetView tabSelected="1" workbookViewId="0" topLeftCell="A1">
      <selection activeCell="G5" sqref="G5:H5"/>
    </sheetView>
  </sheetViews>
  <sheetFormatPr defaultColWidth="9.140625" defaultRowHeight="15"/>
  <cols>
    <col min="3" max="3" width="22.421875" style="0" customWidth="1"/>
    <col min="4" max="4" width="14.28125" style="0" customWidth="1"/>
    <col min="5" max="13" width="12.8515625" style="0" customWidth="1"/>
    <col min="14" max="33" width="10.28125" style="0" customWidth="1"/>
  </cols>
  <sheetData>
    <row r="1" ht="18">
      <c r="C1" s="1"/>
    </row>
    <row r="2" spans="3:13" ht="18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4" spans="3:8" ht="15">
      <c r="C4" t="s">
        <v>1</v>
      </c>
      <c r="D4">
        <v>100</v>
      </c>
      <c r="G4" s="4" t="s">
        <v>2</v>
      </c>
      <c r="H4" s="5">
        <f>I13/0.05</f>
        <v>1501920</v>
      </c>
    </row>
    <row r="5" spans="3:8" ht="15">
      <c r="C5" t="s">
        <v>3</v>
      </c>
      <c r="D5" s="6">
        <v>24000000</v>
      </c>
      <c r="G5" s="4" t="s">
        <v>68</v>
      </c>
      <c r="H5" s="14">
        <f>D43</f>
        <v>697806.5092258949</v>
      </c>
    </row>
    <row r="6" spans="3:4" ht="15">
      <c r="C6" t="s">
        <v>4</v>
      </c>
      <c r="D6">
        <v>10</v>
      </c>
    </row>
    <row r="7" spans="3:4" ht="15">
      <c r="C7" t="s">
        <v>5</v>
      </c>
      <c r="D7" s="7">
        <v>0.6</v>
      </c>
    </row>
    <row r="8" spans="4:9" ht="15">
      <c r="D8" s="7"/>
      <c r="H8" s="8" t="s">
        <v>6</v>
      </c>
      <c r="I8" s="8" t="s">
        <v>6</v>
      </c>
    </row>
    <row r="9" spans="3:9" ht="15">
      <c r="C9" s="9" t="s">
        <v>7</v>
      </c>
      <c r="D9" s="9" t="s">
        <v>8</v>
      </c>
      <c r="E9" s="9" t="s">
        <v>9</v>
      </c>
      <c r="F9" s="9" t="s">
        <v>69</v>
      </c>
      <c r="G9" s="9" t="s">
        <v>10</v>
      </c>
      <c r="H9" s="9" t="s">
        <v>11</v>
      </c>
      <c r="I9" s="9" t="s">
        <v>12</v>
      </c>
    </row>
    <row r="10" spans="3:9" ht="15">
      <c r="C10" t="s">
        <v>13</v>
      </c>
      <c r="D10" s="8">
        <v>4</v>
      </c>
      <c r="E10" s="6">
        <v>1600</v>
      </c>
      <c r="F10" s="34">
        <f>1219-100</f>
        <v>1119</v>
      </c>
      <c r="G10" s="5">
        <f>E10-F10</f>
        <v>481</v>
      </c>
      <c r="H10" s="5">
        <f>G10*D10</f>
        <v>1924</v>
      </c>
      <c r="I10" s="5">
        <f>H10*12</f>
        <v>23088</v>
      </c>
    </row>
    <row r="11" spans="3:9" ht="15">
      <c r="C11" t="s">
        <v>14</v>
      </c>
      <c r="D11" s="8">
        <v>5</v>
      </c>
      <c r="E11" s="6">
        <v>1750</v>
      </c>
      <c r="F11" s="34">
        <f>F10</f>
        <v>1119</v>
      </c>
      <c r="G11" s="5">
        <f aca="true" t="shared" si="0" ref="G11:G12">E11-F11</f>
        <v>631</v>
      </c>
      <c r="H11" s="5">
        <f aca="true" t="shared" si="1" ref="H11:H12">G11*D11</f>
        <v>3155</v>
      </c>
      <c r="I11" s="5">
        <f aca="true" t="shared" si="2" ref="I11:I12">H11*12</f>
        <v>37860</v>
      </c>
    </row>
    <row r="12" spans="3:9" ht="15">
      <c r="C12" t="s">
        <v>15</v>
      </c>
      <c r="D12" s="8">
        <v>1</v>
      </c>
      <c r="E12" s="6">
        <v>2450</v>
      </c>
      <c r="F12" s="34">
        <f>1391-120</f>
        <v>1271</v>
      </c>
      <c r="G12" s="5">
        <f t="shared" si="0"/>
        <v>1179</v>
      </c>
      <c r="H12" s="10">
        <f t="shared" si="1"/>
        <v>1179</v>
      </c>
      <c r="I12" s="10">
        <f t="shared" si="2"/>
        <v>14148</v>
      </c>
    </row>
    <row r="13" spans="7:9" ht="15">
      <c r="G13" s="11" t="s">
        <v>16</v>
      </c>
      <c r="H13" s="12">
        <f>SUM(H10:H12)</f>
        <v>6258</v>
      </c>
      <c r="I13" s="12">
        <f>SUM(I10:I12)</f>
        <v>75096</v>
      </c>
    </row>
    <row r="14" ht="15">
      <c r="F14" s="38" t="s">
        <v>71</v>
      </c>
    </row>
    <row r="15" spans="3:4" ht="18">
      <c r="C15" s="13" t="s">
        <v>17</v>
      </c>
      <c r="D15" s="13"/>
    </row>
    <row r="18" spans="3:13" ht="18">
      <c r="C18" s="13" t="s">
        <v>59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4:33" ht="15"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26</v>
      </c>
      <c r="J20" s="15" t="s">
        <v>27</v>
      </c>
      <c r="K20" s="15" t="s">
        <v>28</v>
      </c>
      <c r="L20" s="15" t="s">
        <v>29</v>
      </c>
      <c r="M20" s="15" t="s">
        <v>30</v>
      </c>
      <c r="N20" s="15" t="s">
        <v>31</v>
      </c>
      <c r="O20" s="15" t="s">
        <v>32</v>
      </c>
      <c r="P20" s="15" t="s">
        <v>33</v>
      </c>
      <c r="Q20" s="15" t="s">
        <v>34</v>
      </c>
      <c r="R20" s="15" t="s">
        <v>35</v>
      </c>
      <c r="S20" s="15" t="s">
        <v>36</v>
      </c>
      <c r="T20" s="15" t="s">
        <v>37</v>
      </c>
      <c r="U20" s="15" t="s">
        <v>38</v>
      </c>
      <c r="V20" s="15" t="s">
        <v>39</v>
      </c>
      <c r="W20" s="15" t="s">
        <v>40</v>
      </c>
      <c r="X20" s="15" t="s">
        <v>41</v>
      </c>
      <c r="Y20" s="15" t="s">
        <v>42</v>
      </c>
      <c r="Z20" s="15" t="s">
        <v>43</v>
      </c>
      <c r="AA20" s="15" t="s">
        <v>44</v>
      </c>
      <c r="AB20" s="15" t="s">
        <v>45</v>
      </c>
      <c r="AC20" s="15" t="s">
        <v>46</v>
      </c>
      <c r="AD20" s="15" t="s">
        <v>47</v>
      </c>
      <c r="AE20" s="15" t="s">
        <v>48</v>
      </c>
      <c r="AF20" s="15" t="s">
        <v>49</v>
      </c>
      <c r="AG20" s="15" t="s">
        <v>50</v>
      </c>
    </row>
    <row r="21" spans="3:33" ht="15">
      <c r="C21" t="s">
        <v>60</v>
      </c>
      <c r="D21" s="5">
        <f>I13</f>
        <v>75096</v>
      </c>
      <c r="E21" s="5">
        <f>D21*1.02</f>
        <v>76597.92</v>
      </c>
      <c r="F21" s="5">
        <f aca="true" t="shared" si="3" ref="F21:AG21">E21*1.02</f>
        <v>78129.8784</v>
      </c>
      <c r="G21" s="5">
        <f t="shared" si="3"/>
        <v>79692.475968</v>
      </c>
      <c r="H21" s="5">
        <f t="shared" si="3"/>
        <v>81286.32548736</v>
      </c>
      <c r="I21" s="5">
        <f t="shared" si="3"/>
        <v>82912.05199710719</v>
      </c>
      <c r="J21" s="5">
        <f t="shared" si="3"/>
        <v>84570.29303704934</v>
      </c>
      <c r="K21" s="5">
        <f t="shared" si="3"/>
        <v>86261.69889779032</v>
      </c>
      <c r="L21" s="5">
        <f t="shared" si="3"/>
        <v>87986.93287574613</v>
      </c>
      <c r="M21" s="5">
        <f t="shared" si="3"/>
        <v>89746.67153326106</v>
      </c>
      <c r="N21" s="5">
        <f t="shared" si="3"/>
        <v>91541.60496392628</v>
      </c>
      <c r="O21" s="5">
        <f t="shared" si="3"/>
        <v>93372.43706320481</v>
      </c>
      <c r="P21" s="5">
        <f t="shared" si="3"/>
        <v>95239.88580446891</v>
      </c>
      <c r="Q21" s="5">
        <f t="shared" si="3"/>
        <v>97144.68352055829</v>
      </c>
      <c r="R21" s="5">
        <f t="shared" si="3"/>
        <v>99087.57719096946</v>
      </c>
      <c r="S21" s="5">
        <f t="shared" si="3"/>
        <v>101069.32873478885</v>
      </c>
      <c r="T21" s="5">
        <f t="shared" si="3"/>
        <v>103090.71530948463</v>
      </c>
      <c r="U21" s="5">
        <f t="shared" si="3"/>
        <v>105152.52961567433</v>
      </c>
      <c r="V21" s="5">
        <f t="shared" si="3"/>
        <v>107255.58020798782</v>
      </c>
      <c r="W21" s="5">
        <f t="shared" si="3"/>
        <v>109400.69181214758</v>
      </c>
      <c r="X21" s="5">
        <f t="shared" si="3"/>
        <v>111588.70564839053</v>
      </c>
      <c r="Y21" s="5">
        <f t="shared" si="3"/>
        <v>113820.47976135835</v>
      </c>
      <c r="Z21" s="5">
        <f t="shared" si="3"/>
        <v>116096.88935658553</v>
      </c>
      <c r="AA21" s="5">
        <f t="shared" si="3"/>
        <v>118418.82714371724</v>
      </c>
      <c r="AB21" s="5">
        <f t="shared" si="3"/>
        <v>120787.20368659159</v>
      </c>
      <c r="AC21" s="5">
        <f t="shared" si="3"/>
        <v>123202.94776032343</v>
      </c>
      <c r="AD21" s="5">
        <f t="shared" si="3"/>
        <v>125667.0067155299</v>
      </c>
      <c r="AE21" s="5">
        <f t="shared" si="3"/>
        <v>128180.3468498405</v>
      </c>
      <c r="AF21" s="5">
        <f t="shared" si="3"/>
        <v>130743.95378683732</v>
      </c>
      <c r="AG21" s="5">
        <f t="shared" si="3"/>
        <v>133358.83286257405</v>
      </c>
    </row>
    <row r="22" spans="3:4" ht="15">
      <c r="C22" t="s">
        <v>61</v>
      </c>
      <c r="D22" s="5">
        <f>SUM(D21:M21)</f>
        <v>822280.2481963141</v>
      </c>
    </row>
    <row r="23" spans="3:4" ht="15">
      <c r="C23" t="s">
        <v>62</v>
      </c>
      <c r="D23" s="5">
        <f>SUM(D21:AG21)</f>
        <v>3046500.475991274</v>
      </c>
    </row>
    <row r="24" spans="3:4" ht="15">
      <c r="C24" s="25" t="s">
        <v>58</v>
      </c>
      <c r="D24" s="26">
        <f>NPV(0.05,D21:AG21)</f>
        <v>1454088.2988821769</v>
      </c>
    </row>
    <row r="27" spans="3:13" ht="18">
      <c r="C27" s="32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4" ht="15">
      <c r="C28" t="s">
        <v>19</v>
      </c>
      <c r="D28" s="14">
        <v>500000</v>
      </c>
    </row>
    <row r="29" spans="3:4" ht="15">
      <c r="C29" t="s">
        <v>20</v>
      </c>
      <c r="D29" s="6">
        <v>23500000</v>
      </c>
    </row>
    <row r="31" spans="4:33" ht="15"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26</v>
      </c>
      <c r="J31" s="15" t="s">
        <v>27</v>
      </c>
      <c r="K31" s="15" t="s">
        <v>28</v>
      </c>
      <c r="L31" s="15" t="s">
        <v>29</v>
      </c>
      <c r="M31" s="15" t="s">
        <v>30</v>
      </c>
      <c r="N31" s="15" t="s">
        <v>31</v>
      </c>
      <c r="O31" s="15" t="s">
        <v>32</v>
      </c>
      <c r="P31" s="15" t="s">
        <v>33</v>
      </c>
      <c r="Q31" s="15" t="s">
        <v>34</v>
      </c>
      <c r="R31" s="15" t="s">
        <v>35</v>
      </c>
      <c r="S31" s="15" t="s">
        <v>36</v>
      </c>
      <c r="T31" s="15" t="s">
        <v>37</v>
      </c>
      <c r="U31" s="15" t="s">
        <v>38</v>
      </c>
      <c r="V31" s="15" t="s">
        <v>39</v>
      </c>
      <c r="W31" s="15" t="s">
        <v>40</v>
      </c>
      <c r="X31" s="15" t="s">
        <v>41</v>
      </c>
      <c r="Y31" s="15" t="s">
        <v>42</v>
      </c>
      <c r="Z31" s="15" t="s">
        <v>43</v>
      </c>
      <c r="AA31" s="15" t="s">
        <v>44</v>
      </c>
      <c r="AB31" s="15" t="s">
        <v>45</v>
      </c>
      <c r="AC31" s="15" t="s">
        <v>46</v>
      </c>
      <c r="AD31" s="15" t="s">
        <v>47</v>
      </c>
      <c r="AE31" s="15" t="s">
        <v>48</v>
      </c>
      <c r="AF31" s="15" t="s">
        <v>49</v>
      </c>
      <c r="AG31" s="15" t="s">
        <v>50</v>
      </c>
    </row>
    <row r="32" spans="3:13" ht="15">
      <c r="C32" s="16" t="s">
        <v>51</v>
      </c>
      <c r="D32" s="14">
        <f>D28</f>
        <v>500000</v>
      </c>
      <c r="E32" s="14">
        <f>D32*1.01</f>
        <v>505000</v>
      </c>
      <c r="F32" s="14">
        <f aca="true" t="shared" si="4" ref="F32:M32">E32*1.01</f>
        <v>510050</v>
      </c>
      <c r="G32" s="14">
        <f t="shared" si="4"/>
        <v>515150.5</v>
      </c>
      <c r="H32" s="14">
        <f t="shared" si="4"/>
        <v>520302.005</v>
      </c>
      <c r="I32" s="14">
        <f t="shared" si="4"/>
        <v>525505.02505</v>
      </c>
      <c r="J32" s="14">
        <f t="shared" si="4"/>
        <v>530760.0753005</v>
      </c>
      <c r="K32" s="14">
        <f t="shared" si="4"/>
        <v>536067.676053505</v>
      </c>
      <c r="L32" s="14">
        <f t="shared" si="4"/>
        <v>541428.3528140401</v>
      </c>
      <c r="M32" s="14">
        <f t="shared" si="4"/>
        <v>546842.6363421805</v>
      </c>
    </row>
    <row r="33" spans="3:13" ht="15">
      <c r="C33" s="16" t="s">
        <v>52</v>
      </c>
      <c r="D33" s="17">
        <v>2.36</v>
      </c>
      <c r="E33" s="18">
        <f>D33</f>
        <v>2.36</v>
      </c>
      <c r="F33" s="18">
        <f aca="true" t="shared" si="5" ref="F33:M33">E33</f>
        <v>2.36</v>
      </c>
      <c r="G33" s="18">
        <f t="shared" si="5"/>
        <v>2.36</v>
      </c>
      <c r="H33" s="18">
        <f t="shared" si="5"/>
        <v>2.36</v>
      </c>
      <c r="I33" s="18">
        <f t="shared" si="5"/>
        <v>2.36</v>
      </c>
      <c r="J33" s="18">
        <f t="shared" si="5"/>
        <v>2.36</v>
      </c>
      <c r="K33" s="18">
        <f t="shared" si="5"/>
        <v>2.36</v>
      </c>
      <c r="L33" s="18">
        <f t="shared" si="5"/>
        <v>2.36</v>
      </c>
      <c r="M33" s="18">
        <f t="shared" si="5"/>
        <v>2.36</v>
      </c>
    </row>
    <row r="34" spans="3:13" ht="15">
      <c r="C34" t="s">
        <v>53</v>
      </c>
      <c r="D34" s="14">
        <f>D33*D32/100</f>
        <v>11800</v>
      </c>
      <c r="E34" s="14">
        <f aca="true" t="shared" si="6" ref="E34:M34">E33*E32/100</f>
        <v>11918</v>
      </c>
      <c r="F34" s="14">
        <f t="shared" si="6"/>
        <v>12037.18</v>
      </c>
      <c r="G34" s="14">
        <f t="shared" si="6"/>
        <v>12157.5518</v>
      </c>
      <c r="H34" s="14">
        <f t="shared" si="6"/>
        <v>12279.127317999999</v>
      </c>
      <c r="I34" s="14">
        <f t="shared" si="6"/>
        <v>12401.918591180001</v>
      </c>
      <c r="J34" s="14">
        <f t="shared" si="6"/>
        <v>12525.9377770918</v>
      </c>
      <c r="K34" s="14">
        <f t="shared" si="6"/>
        <v>12651.197154862717</v>
      </c>
      <c r="L34" s="14">
        <f t="shared" si="6"/>
        <v>12777.709126411346</v>
      </c>
      <c r="M34" s="14">
        <f t="shared" si="6"/>
        <v>12905.486217675461</v>
      </c>
    </row>
    <row r="35" spans="4:13" ht="15"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3:13" ht="15">
      <c r="C36" s="16" t="s">
        <v>54</v>
      </c>
      <c r="D36" s="19">
        <f>D29</f>
        <v>23500000</v>
      </c>
      <c r="E36" s="20">
        <f>D36*1.02</f>
        <v>23970000</v>
      </c>
      <c r="F36" s="20">
        <f aca="true" t="shared" si="7" ref="F36:M36">E36*1.02</f>
        <v>24449400</v>
      </c>
      <c r="G36" s="20">
        <f t="shared" si="7"/>
        <v>24938388</v>
      </c>
      <c r="H36" s="20">
        <f t="shared" si="7"/>
        <v>25437155.76</v>
      </c>
      <c r="I36" s="20">
        <f t="shared" si="7"/>
        <v>25945898.875200003</v>
      </c>
      <c r="J36" s="20">
        <f t="shared" si="7"/>
        <v>26464816.852704003</v>
      </c>
      <c r="K36" s="20">
        <f t="shared" si="7"/>
        <v>26994113.189758085</v>
      </c>
      <c r="L36" s="20">
        <f t="shared" si="7"/>
        <v>27533995.45355325</v>
      </c>
      <c r="M36" s="20">
        <f t="shared" si="7"/>
        <v>28084675.362624314</v>
      </c>
    </row>
    <row r="37" spans="3:13" ht="15">
      <c r="C37" s="16" t="s">
        <v>55</v>
      </c>
      <c r="D37" s="18">
        <f>D33</f>
        <v>2.36</v>
      </c>
      <c r="E37" s="18">
        <f aca="true" t="shared" si="8" ref="E37:M37">E33</f>
        <v>2.36</v>
      </c>
      <c r="F37" s="18">
        <f t="shared" si="8"/>
        <v>2.36</v>
      </c>
      <c r="G37" s="18">
        <f t="shared" si="8"/>
        <v>2.36</v>
      </c>
      <c r="H37" s="18">
        <f t="shared" si="8"/>
        <v>2.36</v>
      </c>
      <c r="I37" s="18">
        <f t="shared" si="8"/>
        <v>2.36</v>
      </c>
      <c r="J37" s="18">
        <f t="shared" si="8"/>
        <v>2.36</v>
      </c>
      <c r="K37" s="18">
        <f t="shared" si="8"/>
        <v>2.36</v>
      </c>
      <c r="L37" s="18">
        <f t="shared" si="8"/>
        <v>2.36</v>
      </c>
      <c r="M37" s="18">
        <f t="shared" si="8"/>
        <v>2.36</v>
      </c>
    </row>
    <row r="38" spans="3:13" ht="15">
      <c r="C38" t="s">
        <v>53</v>
      </c>
      <c r="D38" s="14">
        <f>D37*D36/100</f>
        <v>554600</v>
      </c>
      <c r="E38" s="14">
        <f aca="true" t="shared" si="9" ref="E38:M38">E37*E36/100</f>
        <v>565692</v>
      </c>
      <c r="F38" s="14">
        <f t="shared" si="9"/>
        <v>577005.84</v>
      </c>
      <c r="G38" s="14">
        <f t="shared" si="9"/>
        <v>588545.9568</v>
      </c>
      <c r="H38" s="14">
        <f t="shared" si="9"/>
        <v>600316.875936</v>
      </c>
      <c r="I38" s="14">
        <f t="shared" si="9"/>
        <v>612323.2134547201</v>
      </c>
      <c r="J38" s="14">
        <f t="shared" si="9"/>
        <v>624569.6777238145</v>
      </c>
      <c r="K38" s="14">
        <f t="shared" si="9"/>
        <v>637061.0712782907</v>
      </c>
      <c r="L38" s="14">
        <f t="shared" si="9"/>
        <v>649802.2927038566</v>
      </c>
      <c r="M38" s="14">
        <f t="shared" si="9"/>
        <v>662798.3385579338</v>
      </c>
    </row>
    <row r="39" spans="3:13" ht="15">
      <c r="C39" s="21" t="s">
        <v>56</v>
      </c>
      <c r="D39" s="22">
        <v>0.15</v>
      </c>
      <c r="E39" s="22">
        <v>0.15</v>
      </c>
      <c r="F39" s="22">
        <v>0.15</v>
      </c>
      <c r="G39" s="22">
        <v>0.15</v>
      </c>
      <c r="H39" s="22">
        <v>0.15</v>
      </c>
      <c r="I39" s="22">
        <v>0.15</v>
      </c>
      <c r="J39" s="22">
        <v>0.15</v>
      </c>
      <c r="K39" s="22">
        <v>0.15</v>
      </c>
      <c r="L39" s="22">
        <v>0.15</v>
      </c>
      <c r="M39" s="22">
        <v>0.15</v>
      </c>
    </row>
    <row r="40" spans="3:13" ht="15"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3:13" ht="15">
      <c r="C41" t="s">
        <v>56</v>
      </c>
      <c r="D41" s="14">
        <f>D39*D38</f>
        <v>83190</v>
      </c>
      <c r="E41" s="14">
        <f aca="true" t="shared" si="10" ref="E41:M41">E39*E38</f>
        <v>84853.8</v>
      </c>
      <c r="F41" s="14">
        <f t="shared" si="10"/>
        <v>86550.87599999999</v>
      </c>
      <c r="G41" s="14">
        <f t="shared" si="10"/>
        <v>88281.89352</v>
      </c>
      <c r="H41" s="14">
        <f t="shared" si="10"/>
        <v>90047.5313904</v>
      </c>
      <c r="I41" s="14">
        <f t="shared" si="10"/>
        <v>91848.48201820801</v>
      </c>
      <c r="J41" s="14">
        <f t="shared" si="10"/>
        <v>93685.45165857217</v>
      </c>
      <c r="K41" s="14">
        <f t="shared" si="10"/>
        <v>95559.1606917436</v>
      </c>
      <c r="L41" s="14">
        <f t="shared" si="10"/>
        <v>97470.34390557848</v>
      </c>
      <c r="M41" s="14">
        <f t="shared" si="10"/>
        <v>99419.75078369006</v>
      </c>
    </row>
    <row r="42" spans="3:4" ht="15">
      <c r="C42" t="s">
        <v>57</v>
      </c>
      <c r="D42" s="14">
        <f>SUM(D41:M41)</f>
        <v>910907.2899681922</v>
      </c>
    </row>
    <row r="43" spans="3:4" ht="15">
      <c r="C43" s="25" t="s">
        <v>58</v>
      </c>
      <c r="D43" s="26">
        <f>NPV(0.05,D41:M41)</f>
        <v>697806.5092258949</v>
      </c>
    </row>
    <row r="45" spans="3:4" ht="18">
      <c r="C45" s="13" t="s">
        <v>63</v>
      </c>
      <c r="D45" s="27"/>
    </row>
    <row r="47" spans="4:13" ht="15">
      <c r="D47" t="s">
        <v>31</v>
      </c>
      <c r="E47" t="s">
        <v>32</v>
      </c>
      <c r="F47" t="s">
        <v>33</v>
      </c>
      <c r="G47" t="s">
        <v>34</v>
      </c>
      <c r="H47" t="s">
        <v>35</v>
      </c>
      <c r="I47" t="s">
        <v>36</v>
      </c>
      <c r="J47" t="s">
        <v>37</v>
      </c>
      <c r="K47" t="s">
        <v>38</v>
      </c>
      <c r="L47" t="s">
        <v>39</v>
      </c>
      <c r="M47" t="s">
        <v>40</v>
      </c>
    </row>
    <row r="48" ht="15">
      <c r="C48" t="s">
        <v>64</v>
      </c>
    </row>
    <row r="49" ht="15">
      <c r="C49" s="5">
        <f>H4</f>
        <v>1501920</v>
      </c>
    </row>
    <row r="50" spans="3:13" ht="15">
      <c r="C50" t="s">
        <v>65</v>
      </c>
      <c r="D50" s="28">
        <f>C49*2.36/100</f>
        <v>35445.312</v>
      </c>
      <c r="E50" s="28">
        <f>D50*1.02</f>
        <v>36154.21824</v>
      </c>
      <c r="F50" s="28">
        <f aca="true" t="shared" si="11" ref="F50:M50">E50*1.02</f>
        <v>36877.3026048</v>
      </c>
      <c r="G50" s="28">
        <f t="shared" si="11"/>
        <v>37614.84865689601</v>
      </c>
      <c r="H50" s="28">
        <f t="shared" si="11"/>
        <v>38367.14563003393</v>
      </c>
      <c r="I50" s="28">
        <f t="shared" si="11"/>
        <v>39134.48854263461</v>
      </c>
      <c r="J50" s="28">
        <f t="shared" si="11"/>
        <v>39917.178313487304</v>
      </c>
      <c r="K50" s="28">
        <f t="shared" si="11"/>
        <v>40715.52187975705</v>
      </c>
      <c r="L50" s="28">
        <f t="shared" si="11"/>
        <v>41529.83231735219</v>
      </c>
      <c r="M50" s="28">
        <f t="shared" si="11"/>
        <v>42360.42896369924</v>
      </c>
    </row>
    <row r="53" spans="3:13" ht="15">
      <c r="C53" t="s">
        <v>66</v>
      </c>
      <c r="D53" s="5">
        <f aca="true" t="shared" si="12" ref="D53:M53">N21</f>
        <v>91541.60496392628</v>
      </c>
      <c r="E53" s="5">
        <f t="shared" si="12"/>
        <v>93372.43706320481</v>
      </c>
      <c r="F53" s="5">
        <f t="shared" si="12"/>
        <v>95239.88580446891</v>
      </c>
      <c r="G53" s="5">
        <f t="shared" si="12"/>
        <v>97144.68352055829</v>
      </c>
      <c r="H53" s="5">
        <f t="shared" si="12"/>
        <v>99087.57719096946</v>
      </c>
      <c r="I53" s="5">
        <f t="shared" si="12"/>
        <v>101069.32873478885</v>
      </c>
      <c r="J53" s="5">
        <f t="shared" si="12"/>
        <v>103090.71530948463</v>
      </c>
      <c r="K53" s="5">
        <f t="shared" si="12"/>
        <v>105152.52961567433</v>
      </c>
      <c r="L53" s="5">
        <f t="shared" si="12"/>
        <v>107255.58020798782</v>
      </c>
      <c r="M53" s="5">
        <f t="shared" si="12"/>
        <v>109400.69181214758</v>
      </c>
    </row>
    <row r="54" ht="15" thickBot="1"/>
    <row r="55" spans="3:13" ht="15" thickBot="1">
      <c r="C55" s="29" t="s">
        <v>67</v>
      </c>
      <c r="D55" s="30">
        <f>D53-D50</f>
        <v>56096.29296392628</v>
      </c>
      <c r="E55" s="30">
        <f aca="true" t="shared" si="13" ref="E55:M55">E53-E50</f>
        <v>57218.21882320481</v>
      </c>
      <c r="F55" s="30">
        <f t="shared" si="13"/>
        <v>58362.58319966891</v>
      </c>
      <c r="G55" s="30">
        <f t="shared" si="13"/>
        <v>59529.83486366228</v>
      </c>
      <c r="H55" s="30">
        <f t="shared" si="13"/>
        <v>60720.43156093553</v>
      </c>
      <c r="I55" s="30">
        <f t="shared" si="13"/>
        <v>61934.840192154246</v>
      </c>
      <c r="J55" s="30">
        <f t="shared" si="13"/>
        <v>63173.536995997325</v>
      </c>
      <c r="K55" s="30">
        <f t="shared" si="13"/>
        <v>64437.00773591728</v>
      </c>
      <c r="L55" s="30">
        <f t="shared" si="13"/>
        <v>65725.74789063563</v>
      </c>
      <c r="M55" s="31">
        <f t="shared" si="13"/>
        <v>67040.26284844833</v>
      </c>
    </row>
  </sheetData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BD92C-FCA2-4E40-920F-E0C2DE725752}">
  <dimension ref="C1:AG60"/>
  <sheetViews>
    <sheetView workbookViewId="0" topLeftCell="A1">
      <selection activeCell="K16" sqref="K16"/>
    </sheetView>
  </sheetViews>
  <sheetFormatPr defaultColWidth="9.140625" defaultRowHeight="15"/>
  <cols>
    <col min="3" max="3" width="22.421875" style="0" customWidth="1"/>
    <col min="4" max="4" width="14.28125" style="0" customWidth="1"/>
    <col min="5" max="13" width="12.8515625" style="0" customWidth="1"/>
    <col min="14" max="33" width="10.28125" style="0" customWidth="1"/>
  </cols>
  <sheetData>
    <row r="1" ht="18">
      <c r="C1" s="1"/>
    </row>
    <row r="2" spans="3:13" ht="18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4" spans="3:10" ht="15">
      <c r="C4" t="s">
        <v>1</v>
      </c>
      <c r="D4">
        <v>100</v>
      </c>
      <c r="G4" s="4" t="s">
        <v>2</v>
      </c>
      <c r="H4" s="5">
        <f>I18/0.05</f>
        <v>1086720</v>
      </c>
      <c r="J4" s="7"/>
    </row>
    <row r="5" spans="3:10" ht="15">
      <c r="C5" t="s">
        <v>3</v>
      </c>
      <c r="D5" s="6">
        <v>24000000</v>
      </c>
      <c r="G5" s="37" t="str">
        <f>C48</f>
        <v>NPV @ 5%</v>
      </c>
      <c r="H5" s="14">
        <f>D48</f>
        <v>697806.5092258949</v>
      </c>
      <c r="J5" s="7"/>
    </row>
    <row r="6" spans="3:4" ht="15">
      <c r="C6" t="s">
        <v>4</v>
      </c>
      <c r="D6">
        <v>10</v>
      </c>
    </row>
    <row r="7" spans="3:4" ht="15">
      <c r="C7" t="s">
        <v>5</v>
      </c>
      <c r="D7" s="7">
        <v>0.6</v>
      </c>
    </row>
    <row r="8" spans="4:9" ht="15" thickBot="1">
      <c r="D8" s="7"/>
      <c r="H8" s="8" t="s">
        <v>6</v>
      </c>
      <c r="I8" s="8" t="s">
        <v>6</v>
      </c>
    </row>
    <row r="9" spans="3:9" ht="15">
      <c r="C9" s="9" t="s">
        <v>7</v>
      </c>
      <c r="D9" s="9" t="s">
        <v>8</v>
      </c>
      <c r="E9" s="9" t="s">
        <v>9</v>
      </c>
      <c r="F9" s="33" t="s">
        <v>69</v>
      </c>
      <c r="G9" s="9" t="s">
        <v>10</v>
      </c>
      <c r="H9" s="9" t="s">
        <v>11</v>
      </c>
      <c r="I9" s="9" t="s">
        <v>12</v>
      </c>
    </row>
    <row r="10" spans="3:9" ht="15">
      <c r="C10" t="s">
        <v>13</v>
      </c>
      <c r="D10" s="8">
        <v>2</v>
      </c>
      <c r="E10" s="6">
        <v>1600</v>
      </c>
      <c r="F10" s="34">
        <f>1219-100</f>
        <v>1119</v>
      </c>
      <c r="G10" s="5">
        <f>E10-F10</f>
        <v>481</v>
      </c>
      <c r="H10" s="5">
        <f>G10*D10</f>
        <v>962</v>
      </c>
      <c r="I10" s="5">
        <f>H10*12</f>
        <v>11544</v>
      </c>
    </row>
    <row r="11" spans="3:9" ht="15">
      <c r="C11" t="s">
        <v>14</v>
      </c>
      <c r="D11" s="8">
        <v>2</v>
      </c>
      <c r="E11" s="6">
        <v>1750</v>
      </c>
      <c r="F11" s="34">
        <f>F10</f>
        <v>1119</v>
      </c>
      <c r="G11" s="5">
        <f aca="true" t="shared" si="0" ref="G11:G12">E11-F11</f>
        <v>631</v>
      </c>
      <c r="H11" s="5">
        <f aca="true" t="shared" si="1" ref="H11:H12">G11*D11</f>
        <v>1262</v>
      </c>
      <c r="I11" s="5">
        <f aca="true" t="shared" si="2" ref="I11:I12">H11*12</f>
        <v>15144</v>
      </c>
    </row>
    <row r="12" spans="3:9" ht="15" thickBot="1">
      <c r="C12" t="s">
        <v>15</v>
      </c>
      <c r="D12" s="8">
        <v>1</v>
      </c>
      <c r="E12" s="6">
        <v>2450</v>
      </c>
      <c r="F12" s="34">
        <f>1391-120</f>
        <v>1271</v>
      </c>
      <c r="G12" s="5">
        <f t="shared" si="0"/>
        <v>1179</v>
      </c>
      <c r="H12" s="5">
        <f t="shared" si="1"/>
        <v>1179</v>
      </c>
      <c r="I12" s="5">
        <f t="shared" si="2"/>
        <v>14148</v>
      </c>
    </row>
    <row r="13" ht="15">
      <c r="F13" s="33" t="s">
        <v>70</v>
      </c>
    </row>
    <row r="14" spans="3:9" ht="15">
      <c r="C14" t="s">
        <v>13</v>
      </c>
      <c r="D14" s="8">
        <v>2</v>
      </c>
      <c r="E14" s="6">
        <v>1600</v>
      </c>
      <c r="F14" s="34">
        <f>1565-100</f>
        <v>1465</v>
      </c>
      <c r="G14" s="5">
        <f>E14-F14</f>
        <v>135</v>
      </c>
      <c r="H14" s="5">
        <f>G14*D14</f>
        <v>270</v>
      </c>
      <c r="I14" s="5">
        <f>H14*12</f>
        <v>3240</v>
      </c>
    </row>
    <row r="15" spans="3:9" ht="15">
      <c r="C15" t="s">
        <v>14</v>
      </c>
      <c r="D15" s="8">
        <v>3</v>
      </c>
      <c r="E15" s="6">
        <v>1750</v>
      </c>
      <c r="F15" s="34">
        <f>F14</f>
        <v>1465</v>
      </c>
      <c r="G15" s="5">
        <f aca="true" t="shared" si="3" ref="G15:G16">E15-F15</f>
        <v>285</v>
      </c>
      <c r="H15" s="5">
        <f aca="true" t="shared" si="4" ref="H15:H16">G15*D15</f>
        <v>855</v>
      </c>
      <c r="I15" s="5">
        <f aca="true" t="shared" si="5" ref="I15:I16">H15*12</f>
        <v>10260</v>
      </c>
    </row>
    <row r="16" spans="3:9" ht="15" thickBot="1">
      <c r="C16" t="s">
        <v>15</v>
      </c>
      <c r="D16" s="8">
        <v>0</v>
      </c>
      <c r="E16" s="6">
        <v>2450</v>
      </c>
      <c r="F16" s="35">
        <f>1789-120</f>
        <v>1669</v>
      </c>
      <c r="G16" s="5">
        <f t="shared" si="3"/>
        <v>781</v>
      </c>
      <c r="H16" s="5">
        <f aca="true" t="shared" si="6" ref="H16">G16*D16</f>
        <v>0</v>
      </c>
      <c r="I16" s="5">
        <f aca="true" t="shared" si="7" ref="I16">H16*12</f>
        <v>0</v>
      </c>
    </row>
    <row r="17" spans="4:9" ht="15">
      <c r="D17" s="8"/>
      <c r="E17" s="6"/>
      <c r="F17" s="6"/>
      <c r="G17" s="5"/>
      <c r="H17" s="5"/>
      <c r="I17" s="5"/>
    </row>
    <row r="18" spans="7:9" ht="15">
      <c r="G18" s="11" t="s">
        <v>16</v>
      </c>
      <c r="H18" s="12">
        <f>SUM(H10:H16)</f>
        <v>4528</v>
      </c>
      <c r="I18" s="12">
        <f>SUM(I10:I16)</f>
        <v>54336</v>
      </c>
    </row>
    <row r="19" ht="15">
      <c r="F19" s="38" t="s">
        <v>71</v>
      </c>
    </row>
    <row r="20" spans="3:4" ht="18">
      <c r="C20" s="13" t="s">
        <v>17</v>
      </c>
      <c r="D20" s="13"/>
    </row>
    <row r="23" spans="3:13" ht="18">
      <c r="C23" s="13" t="s">
        <v>59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5" spans="4:33" ht="15"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26</v>
      </c>
      <c r="J25" s="15" t="s">
        <v>27</v>
      </c>
      <c r="K25" s="15" t="s">
        <v>28</v>
      </c>
      <c r="L25" s="15" t="s">
        <v>29</v>
      </c>
      <c r="M25" s="15" t="s">
        <v>30</v>
      </c>
      <c r="N25" s="15" t="s">
        <v>31</v>
      </c>
      <c r="O25" s="15" t="s">
        <v>32</v>
      </c>
      <c r="P25" s="15" t="s">
        <v>33</v>
      </c>
      <c r="Q25" s="15" t="s">
        <v>34</v>
      </c>
      <c r="R25" s="15" t="s">
        <v>35</v>
      </c>
      <c r="S25" s="15" t="s">
        <v>36</v>
      </c>
      <c r="T25" s="15" t="s">
        <v>37</v>
      </c>
      <c r="U25" s="15" t="s">
        <v>38</v>
      </c>
      <c r="V25" s="15" t="s">
        <v>39</v>
      </c>
      <c r="W25" s="15" t="s">
        <v>40</v>
      </c>
      <c r="X25" s="15" t="s">
        <v>41</v>
      </c>
      <c r="Y25" s="15" t="s">
        <v>42</v>
      </c>
      <c r="Z25" s="15" t="s">
        <v>43</v>
      </c>
      <c r="AA25" s="15" t="s">
        <v>44</v>
      </c>
      <c r="AB25" s="15" t="s">
        <v>45</v>
      </c>
      <c r="AC25" s="15" t="s">
        <v>46</v>
      </c>
      <c r="AD25" s="15" t="s">
        <v>47</v>
      </c>
      <c r="AE25" s="15" t="s">
        <v>48</v>
      </c>
      <c r="AF25" s="15" t="s">
        <v>49</v>
      </c>
      <c r="AG25" s="15" t="s">
        <v>50</v>
      </c>
    </row>
    <row r="26" spans="3:33" ht="15">
      <c r="C26" t="s">
        <v>60</v>
      </c>
      <c r="D26" s="5">
        <f>I18</f>
        <v>54336</v>
      </c>
      <c r="E26" s="5">
        <f>D26*1.02</f>
        <v>55422.72</v>
      </c>
      <c r="F26" s="5">
        <f aca="true" t="shared" si="8" ref="F26:AG26">E26*1.02</f>
        <v>56531.1744</v>
      </c>
      <c r="G26" s="5">
        <f t="shared" si="8"/>
        <v>57661.797888</v>
      </c>
      <c r="H26" s="5">
        <f t="shared" si="8"/>
        <v>58815.03384576</v>
      </c>
      <c r="I26" s="5">
        <f t="shared" si="8"/>
        <v>59991.3345226752</v>
      </c>
      <c r="J26" s="5">
        <f t="shared" si="8"/>
        <v>61191.161213128704</v>
      </c>
      <c r="K26" s="5">
        <f t="shared" si="8"/>
        <v>62414.98443739128</v>
      </c>
      <c r="L26" s="5">
        <f t="shared" si="8"/>
        <v>63663.28412613911</v>
      </c>
      <c r="M26" s="5">
        <f t="shared" si="8"/>
        <v>64936.54980866189</v>
      </c>
      <c r="N26" s="5">
        <f t="shared" si="8"/>
        <v>66235.28080483513</v>
      </c>
      <c r="O26" s="5">
        <f t="shared" si="8"/>
        <v>67559.98642093183</v>
      </c>
      <c r="P26" s="5">
        <f t="shared" si="8"/>
        <v>68911.18614935047</v>
      </c>
      <c r="Q26" s="5">
        <f t="shared" si="8"/>
        <v>70289.40987233748</v>
      </c>
      <c r="R26" s="5">
        <f t="shared" si="8"/>
        <v>71695.19806978422</v>
      </c>
      <c r="S26" s="5">
        <f t="shared" si="8"/>
        <v>73129.10203117991</v>
      </c>
      <c r="T26" s="5">
        <f t="shared" si="8"/>
        <v>74591.68407180351</v>
      </c>
      <c r="U26" s="5">
        <f t="shared" si="8"/>
        <v>76083.51775323958</v>
      </c>
      <c r="V26" s="5">
        <f t="shared" si="8"/>
        <v>77605.18810830437</v>
      </c>
      <c r="W26" s="5">
        <f t="shared" si="8"/>
        <v>79157.29187047046</v>
      </c>
      <c r="X26" s="5">
        <f t="shared" si="8"/>
        <v>80740.43770787987</v>
      </c>
      <c r="Y26" s="5">
        <f t="shared" si="8"/>
        <v>82355.24646203747</v>
      </c>
      <c r="Z26" s="5">
        <f t="shared" si="8"/>
        <v>84002.35139127822</v>
      </c>
      <c r="AA26" s="5">
        <f t="shared" si="8"/>
        <v>85682.39841910379</v>
      </c>
      <c r="AB26" s="5">
        <f t="shared" si="8"/>
        <v>87396.04638748587</v>
      </c>
      <c r="AC26" s="5">
        <f t="shared" si="8"/>
        <v>89143.96731523558</v>
      </c>
      <c r="AD26" s="5">
        <f t="shared" si="8"/>
        <v>90926.8466615403</v>
      </c>
      <c r="AE26" s="5">
        <f t="shared" si="8"/>
        <v>92745.3835947711</v>
      </c>
      <c r="AF26" s="5">
        <f t="shared" si="8"/>
        <v>94600.29126666652</v>
      </c>
      <c r="AG26" s="5">
        <f t="shared" si="8"/>
        <v>96492.29709199985</v>
      </c>
    </row>
    <row r="27" spans="3:4" ht="15">
      <c r="C27" t="s">
        <v>61</v>
      </c>
      <c r="D27" s="5">
        <f>SUM(D26:M26)</f>
        <v>594964.0402417562</v>
      </c>
    </row>
    <row r="28" spans="3:4" ht="15">
      <c r="C28" t="s">
        <v>62</v>
      </c>
      <c r="D28" s="5">
        <f>SUM(D26:AG26)</f>
        <v>2204307.151691992</v>
      </c>
    </row>
    <row r="29" spans="3:4" ht="15">
      <c r="C29" s="25" t="s">
        <v>58</v>
      </c>
      <c r="D29" s="26">
        <f>NPV(0.05,D26:AG26)</f>
        <v>1052111.188452939</v>
      </c>
    </row>
    <row r="32" spans="3:13" ht="18">
      <c r="C32" s="32" t="s">
        <v>18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4" ht="15">
      <c r="C33" t="s">
        <v>19</v>
      </c>
      <c r="D33" s="14">
        <v>500000</v>
      </c>
    </row>
    <row r="34" spans="3:4" ht="15">
      <c r="C34" t="s">
        <v>20</v>
      </c>
      <c r="D34" s="6">
        <v>23500000</v>
      </c>
    </row>
    <row r="36" spans="4:33" ht="15">
      <c r="D36" s="15" t="s">
        <v>21</v>
      </c>
      <c r="E36" s="15" t="s">
        <v>22</v>
      </c>
      <c r="F36" s="15" t="s">
        <v>23</v>
      </c>
      <c r="G36" s="15" t="s">
        <v>24</v>
      </c>
      <c r="H36" s="15" t="s">
        <v>25</v>
      </c>
      <c r="I36" s="15" t="s">
        <v>26</v>
      </c>
      <c r="J36" s="15" t="s">
        <v>27</v>
      </c>
      <c r="K36" s="15" t="s">
        <v>28</v>
      </c>
      <c r="L36" s="15" t="s">
        <v>29</v>
      </c>
      <c r="M36" s="15" t="s">
        <v>30</v>
      </c>
      <c r="N36" s="15" t="s">
        <v>31</v>
      </c>
      <c r="O36" s="15" t="s">
        <v>32</v>
      </c>
      <c r="P36" s="15" t="s">
        <v>33</v>
      </c>
      <c r="Q36" s="15" t="s">
        <v>34</v>
      </c>
      <c r="R36" s="15" t="s">
        <v>35</v>
      </c>
      <c r="S36" s="15" t="s">
        <v>36</v>
      </c>
      <c r="T36" s="15" t="s">
        <v>37</v>
      </c>
      <c r="U36" s="15" t="s">
        <v>38</v>
      </c>
      <c r="V36" s="15" t="s">
        <v>39</v>
      </c>
      <c r="W36" s="15" t="s">
        <v>40</v>
      </c>
      <c r="X36" s="15" t="s">
        <v>41</v>
      </c>
      <c r="Y36" s="15" t="s">
        <v>42</v>
      </c>
      <c r="Z36" s="15" t="s">
        <v>43</v>
      </c>
      <c r="AA36" s="15" t="s">
        <v>44</v>
      </c>
      <c r="AB36" s="15" t="s">
        <v>45</v>
      </c>
      <c r="AC36" s="15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</row>
    <row r="37" spans="3:13" ht="15">
      <c r="C37" s="16" t="s">
        <v>51</v>
      </c>
      <c r="D37" s="14">
        <f>D33</f>
        <v>500000</v>
      </c>
      <c r="E37" s="14">
        <f>D37*1.01</f>
        <v>505000</v>
      </c>
      <c r="F37" s="14">
        <f aca="true" t="shared" si="9" ref="F37:M37">E37*1.01</f>
        <v>510050</v>
      </c>
      <c r="G37" s="14">
        <f t="shared" si="9"/>
        <v>515150.5</v>
      </c>
      <c r="H37" s="14">
        <f t="shared" si="9"/>
        <v>520302.005</v>
      </c>
      <c r="I37" s="14">
        <f t="shared" si="9"/>
        <v>525505.02505</v>
      </c>
      <c r="J37" s="14">
        <f t="shared" si="9"/>
        <v>530760.0753005</v>
      </c>
      <c r="K37" s="14">
        <f t="shared" si="9"/>
        <v>536067.676053505</v>
      </c>
      <c r="L37" s="14">
        <f t="shared" si="9"/>
        <v>541428.3528140401</v>
      </c>
      <c r="M37" s="14">
        <f t="shared" si="9"/>
        <v>546842.6363421805</v>
      </c>
    </row>
    <row r="38" spans="3:13" ht="15">
      <c r="C38" s="16" t="s">
        <v>52</v>
      </c>
      <c r="D38" s="17">
        <v>2.36</v>
      </c>
      <c r="E38" s="18">
        <f>D38</f>
        <v>2.36</v>
      </c>
      <c r="F38" s="18">
        <f aca="true" t="shared" si="10" ref="F38:M38">E38</f>
        <v>2.36</v>
      </c>
      <c r="G38" s="18">
        <f t="shared" si="10"/>
        <v>2.36</v>
      </c>
      <c r="H38" s="18">
        <f t="shared" si="10"/>
        <v>2.36</v>
      </c>
      <c r="I38" s="18">
        <f t="shared" si="10"/>
        <v>2.36</v>
      </c>
      <c r="J38" s="18">
        <f t="shared" si="10"/>
        <v>2.36</v>
      </c>
      <c r="K38" s="18">
        <f t="shared" si="10"/>
        <v>2.36</v>
      </c>
      <c r="L38" s="18">
        <f t="shared" si="10"/>
        <v>2.36</v>
      </c>
      <c r="M38" s="18">
        <f t="shared" si="10"/>
        <v>2.36</v>
      </c>
    </row>
    <row r="39" spans="3:13" ht="15">
      <c r="C39" t="s">
        <v>53</v>
      </c>
      <c r="D39" s="14">
        <f>D38*D37/100</f>
        <v>11800</v>
      </c>
      <c r="E39" s="14">
        <f aca="true" t="shared" si="11" ref="E39:M39">E38*E37/100</f>
        <v>11918</v>
      </c>
      <c r="F39" s="14">
        <f t="shared" si="11"/>
        <v>12037.18</v>
      </c>
      <c r="G39" s="14">
        <f t="shared" si="11"/>
        <v>12157.5518</v>
      </c>
      <c r="H39" s="14">
        <f t="shared" si="11"/>
        <v>12279.127317999999</v>
      </c>
      <c r="I39" s="14">
        <f t="shared" si="11"/>
        <v>12401.918591180001</v>
      </c>
      <c r="J39" s="14">
        <f t="shared" si="11"/>
        <v>12525.9377770918</v>
      </c>
      <c r="K39" s="14">
        <f t="shared" si="11"/>
        <v>12651.197154862717</v>
      </c>
      <c r="L39" s="14">
        <f t="shared" si="11"/>
        <v>12777.709126411346</v>
      </c>
      <c r="M39" s="14">
        <f t="shared" si="11"/>
        <v>12905.486217675461</v>
      </c>
    </row>
    <row r="40" spans="4:13" ht="15"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3:13" ht="15">
      <c r="C41" s="16" t="s">
        <v>54</v>
      </c>
      <c r="D41" s="19">
        <f>D34</f>
        <v>23500000</v>
      </c>
      <c r="E41" s="20">
        <f>D41*1.02</f>
        <v>23970000</v>
      </c>
      <c r="F41" s="20">
        <f aca="true" t="shared" si="12" ref="F41:M41">E41*1.02</f>
        <v>24449400</v>
      </c>
      <c r="G41" s="20">
        <f t="shared" si="12"/>
        <v>24938388</v>
      </c>
      <c r="H41" s="20">
        <f t="shared" si="12"/>
        <v>25437155.76</v>
      </c>
      <c r="I41" s="20">
        <f t="shared" si="12"/>
        <v>25945898.875200003</v>
      </c>
      <c r="J41" s="20">
        <f t="shared" si="12"/>
        <v>26464816.852704003</v>
      </c>
      <c r="K41" s="20">
        <f t="shared" si="12"/>
        <v>26994113.189758085</v>
      </c>
      <c r="L41" s="20">
        <f t="shared" si="12"/>
        <v>27533995.45355325</v>
      </c>
      <c r="M41" s="20">
        <f t="shared" si="12"/>
        <v>28084675.362624314</v>
      </c>
    </row>
    <row r="42" spans="3:13" ht="15">
      <c r="C42" s="16" t="s">
        <v>55</v>
      </c>
      <c r="D42" s="18">
        <f>D38</f>
        <v>2.36</v>
      </c>
      <c r="E42" s="18">
        <f aca="true" t="shared" si="13" ref="E42:M42">E38</f>
        <v>2.36</v>
      </c>
      <c r="F42" s="18">
        <f t="shared" si="13"/>
        <v>2.36</v>
      </c>
      <c r="G42" s="18">
        <f t="shared" si="13"/>
        <v>2.36</v>
      </c>
      <c r="H42" s="18">
        <f t="shared" si="13"/>
        <v>2.36</v>
      </c>
      <c r="I42" s="18">
        <f t="shared" si="13"/>
        <v>2.36</v>
      </c>
      <c r="J42" s="18">
        <f t="shared" si="13"/>
        <v>2.36</v>
      </c>
      <c r="K42" s="18">
        <f t="shared" si="13"/>
        <v>2.36</v>
      </c>
      <c r="L42" s="18">
        <f t="shared" si="13"/>
        <v>2.36</v>
      </c>
      <c r="M42" s="18">
        <f t="shared" si="13"/>
        <v>2.36</v>
      </c>
    </row>
    <row r="43" spans="3:13" ht="15">
      <c r="C43" t="s">
        <v>53</v>
      </c>
      <c r="D43" s="14">
        <f>D42*D41/100</f>
        <v>554600</v>
      </c>
      <c r="E43" s="14">
        <f aca="true" t="shared" si="14" ref="E43:M43">E42*E41/100</f>
        <v>565692</v>
      </c>
      <c r="F43" s="14">
        <f t="shared" si="14"/>
        <v>577005.84</v>
      </c>
      <c r="G43" s="14">
        <f t="shared" si="14"/>
        <v>588545.9568</v>
      </c>
      <c r="H43" s="14">
        <f t="shared" si="14"/>
        <v>600316.875936</v>
      </c>
      <c r="I43" s="14">
        <f t="shared" si="14"/>
        <v>612323.2134547201</v>
      </c>
      <c r="J43" s="14">
        <f t="shared" si="14"/>
        <v>624569.6777238145</v>
      </c>
      <c r="K43" s="14">
        <f t="shared" si="14"/>
        <v>637061.0712782907</v>
      </c>
      <c r="L43" s="14">
        <f t="shared" si="14"/>
        <v>649802.2927038566</v>
      </c>
      <c r="M43" s="14">
        <f t="shared" si="14"/>
        <v>662798.3385579338</v>
      </c>
    </row>
    <row r="44" spans="3:13" ht="15">
      <c r="C44" s="21" t="s">
        <v>56</v>
      </c>
      <c r="D44" s="22">
        <v>0.15</v>
      </c>
      <c r="E44" s="22">
        <v>0.15</v>
      </c>
      <c r="F44" s="22">
        <v>0.15</v>
      </c>
      <c r="G44" s="22">
        <v>0.15</v>
      </c>
      <c r="H44" s="22">
        <v>0.15</v>
      </c>
      <c r="I44" s="22">
        <v>0.15</v>
      </c>
      <c r="J44" s="22">
        <v>0.15</v>
      </c>
      <c r="K44" s="22">
        <v>0.15</v>
      </c>
      <c r="L44" s="22">
        <v>0.15</v>
      </c>
      <c r="M44" s="22">
        <v>0.15</v>
      </c>
    </row>
    <row r="45" spans="3:13" ht="15"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3:13" ht="15">
      <c r="C46" t="s">
        <v>56</v>
      </c>
      <c r="D46" s="14">
        <f>D44*D43</f>
        <v>83190</v>
      </c>
      <c r="E46" s="14">
        <f aca="true" t="shared" si="15" ref="E46:M46">E44*E43</f>
        <v>84853.8</v>
      </c>
      <c r="F46" s="14">
        <f t="shared" si="15"/>
        <v>86550.87599999999</v>
      </c>
      <c r="G46" s="14">
        <f t="shared" si="15"/>
        <v>88281.89352</v>
      </c>
      <c r="H46" s="14">
        <f t="shared" si="15"/>
        <v>90047.5313904</v>
      </c>
      <c r="I46" s="14">
        <f t="shared" si="15"/>
        <v>91848.48201820801</v>
      </c>
      <c r="J46" s="14">
        <f t="shared" si="15"/>
        <v>93685.45165857217</v>
      </c>
      <c r="K46" s="14">
        <f t="shared" si="15"/>
        <v>95559.1606917436</v>
      </c>
      <c r="L46" s="14">
        <f t="shared" si="15"/>
        <v>97470.34390557848</v>
      </c>
      <c r="M46" s="14">
        <f t="shared" si="15"/>
        <v>99419.75078369006</v>
      </c>
    </row>
    <row r="47" spans="3:4" ht="15">
      <c r="C47" t="s">
        <v>57</v>
      </c>
      <c r="D47" s="14">
        <f>SUM(D46:M46)</f>
        <v>910907.2899681922</v>
      </c>
    </row>
    <row r="48" spans="3:4" ht="15">
      <c r="C48" s="25" t="s">
        <v>58</v>
      </c>
      <c r="D48" s="26">
        <f>NPV(0.05,D46:M46)</f>
        <v>697806.5092258949</v>
      </c>
    </row>
    <row r="50" spans="3:4" ht="18">
      <c r="C50" s="13" t="s">
        <v>63</v>
      </c>
      <c r="D50" s="27"/>
    </row>
    <row r="52" spans="4:13" ht="15">
      <c r="D52" t="s">
        <v>31</v>
      </c>
      <c r="E52" t="s">
        <v>32</v>
      </c>
      <c r="F52" t="s">
        <v>33</v>
      </c>
      <c r="G52" t="s">
        <v>34</v>
      </c>
      <c r="H52" t="s">
        <v>35</v>
      </c>
      <c r="I52" t="s">
        <v>36</v>
      </c>
      <c r="J52" t="s">
        <v>37</v>
      </c>
      <c r="K52" t="s">
        <v>38</v>
      </c>
      <c r="L52" t="s">
        <v>39</v>
      </c>
      <c r="M52" t="s">
        <v>40</v>
      </c>
    </row>
    <row r="53" ht="15">
      <c r="C53" t="s">
        <v>64</v>
      </c>
    </row>
    <row r="54" ht="15">
      <c r="C54" s="5">
        <f>H4</f>
        <v>1086720</v>
      </c>
    </row>
    <row r="55" spans="3:13" ht="15">
      <c r="C55" t="s">
        <v>65</v>
      </c>
      <c r="D55" s="28">
        <f>C54*2.36/100</f>
        <v>25646.591999999997</v>
      </c>
      <c r="E55" s="28">
        <f>D55*1.02</f>
        <v>26159.523839999998</v>
      </c>
      <c r="F55" s="28">
        <f aca="true" t="shared" si="16" ref="F55:M55">E55*1.02</f>
        <v>26682.7143168</v>
      </c>
      <c r="G55" s="28">
        <f t="shared" si="16"/>
        <v>27216.368603136</v>
      </c>
      <c r="H55" s="28">
        <f t="shared" si="16"/>
        <v>27760.695975198723</v>
      </c>
      <c r="I55" s="28">
        <f t="shared" si="16"/>
        <v>28315.909894702698</v>
      </c>
      <c r="J55" s="28">
        <f t="shared" si="16"/>
        <v>28882.228092596753</v>
      </c>
      <c r="K55" s="28">
        <f t="shared" si="16"/>
        <v>29459.87265444869</v>
      </c>
      <c r="L55" s="28">
        <f t="shared" si="16"/>
        <v>30049.070107537664</v>
      </c>
      <c r="M55" s="28">
        <f t="shared" si="16"/>
        <v>30650.05150968842</v>
      </c>
    </row>
    <row r="58" spans="3:13" ht="15">
      <c r="C58" t="s">
        <v>66</v>
      </c>
      <c r="D58" s="5">
        <f aca="true" t="shared" si="17" ref="D58:M58">N26</f>
        <v>66235.28080483513</v>
      </c>
      <c r="E58" s="5">
        <f t="shared" si="17"/>
        <v>67559.98642093183</v>
      </c>
      <c r="F58" s="5">
        <f t="shared" si="17"/>
        <v>68911.18614935047</v>
      </c>
      <c r="G58" s="5">
        <f t="shared" si="17"/>
        <v>70289.40987233748</v>
      </c>
      <c r="H58" s="5">
        <f t="shared" si="17"/>
        <v>71695.19806978422</v>
      </c>
      <c r="I58" s="5">
        <f t="shared" si="17"/>
        <v>73129.10203117991</v>
      </c>
      <c r="J58" s="5">
        <f t="shared" si="17"/>
        <v>74591.68407180351</v>
      </c>
      <c r="K58" s="5">
        <f t="shared" si="17"/>
        <v>76083.51775323958</v>
      </c>
      <c r="L58" s="5">
        <f t="shared" si="17"/>
        <v>77605.18810830437</v>
      </c>
      <c r="M58" s="5">
        <f t="shared" si="17"/>
        <v>79157.29187047046</v>
      </c>
    </row>
    <row r="59" ht="15" thickBot="1"/>
    <row r="60" spans="3:13" ht="15" thickBot="1">
      <c r="C60" s="29" t="s">
        <v>67</v>
      </c>
      <c r="D60" s="30">
        <f>D58-D55</f>
        <v>40588.68880483513</v>
      </c>
      <c r="E60" s="30">
        <f aca="true" t="shared" si="18" ref="E60:M60">E58-E55</f>
        <v>41400.46258093184</v>
      </c>
      <c r="F60" s="30">
        <f t="shared" si="18"/>
        <v>42228.471832550465</v>
      </c>
      <c r="G60" s="30">
        <f t="shared" si="18"/>
        <v>43073.04126920148</v>
      </c>
      <c r="H60" s="30">
        <f t="shared" si="18"/>
        <v>43934.5020945855</v>
      </c>
      <c r="I60" s="30">
        <f t="shared" si="18"/>
        <v>44813.19213647721</v>
      </c>
      <c r="J60" s="30">
        <f t="shared" si="18"/>
        <v>45709.45597920676</v>
      </c>
      <c r="K60" s="30">
        <f t="shared" si="18"/>
        <v>46623.64509879089</v>
      </c>
      <c r="L60" s="30">
        <f t="shared" si="18"/>
        <v>47556.118000766706</v>
      </c>
      <c r="M60" s="31">
        <f t="shared" si="18"/>
        <v>48507.240360782045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735C-889C-4DBB-9CF4-D7D406FD10CC}">
  <dimension ref="C1:AG55"/>
  <sheetViews>
    <sheetView workbookViewId="0" topLeftCell="A1">
      <selection activeCell="E21" sqref="E21"/>
    </sheetView>
  </sheetViews>
  <sheetFormatPr defaultColWidth="9.140625" defaultRowHeight="15"/>
  <cols>
    <col min="3" max="3" width="22.421875" style="0" customWidth="1"/>
    <col min="4" max="4" width="14.28125" style="0" customWidth="1"/>
    <col min="5" max="13" width="12.8515625" style="0" customWidth="1"/>
    <col min="14" max="33" width="10.28125" style="0" customWidth="1"/>
  </cols>
  <sheetData>
    <row r="1" ht="18">
      <c r="C1" s="1"/>
    </row>
    <row r="2" spans="3:13" ht="18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4" spans="3:8" ht="15">
      <c r="C4" t="s">
        <v>1</v>
      </c>
      <c r="D4">
        <v>100</v>
      </c>
      <c r="G4" s="4" t="s">
        <v>2</v>
      </c>
      <c r="H4" s="5">
        <f>I13/0.05</f>
        <v>659040</v>
      </c>
    </row>
    <row r="5" spans="3:8" ht="15">
      <c r="C5" t="s">
        <v>3</v>
      </c>
      <c r="D5" s="6">
        <v>24000000</v>
      </c>
      <c r="G5" s="4" t="s">
        <v>68</v>
      </c>
      <c r="H5" s="14">
        <f>D43</f>
        <v>697806.5092258949</v>
      </c>
    </row>
    <row r="6" spans="3:4" ht="15">
      <c r="C6" t="s">
        <v>4</v>
      </c>
      <c r="D6">
        <v>10</v>
      </c>
    </row>
    <row r="7" spans="3:4" ht="15">
      <c r="C7" t="s">
        <v>5</v>
      </c>
      <c r="D7" s="7">
        <v>0.6</v>
      </c>
    </row>
    <row r="8" spans="4:9" ht="15">
      <c r="D8" s="7"/>
      <c r="H8" s="8" t="s">
        <v>6</v>
      </c>
      <c r="I8" s="8" t="s">
        <v>6</v>
      </c>
    </row>
    <row r="9" spans="3:9" ht="15">
      <c r="C9" s="9" t="s">
        <v>7</v>
      </c>
      <c r="D9" s="9" t="s">
        <v>8</v>
      </c>
      <c r="E9" s="9" t="s">
        <v>9</v>
      </c>
      <c r="F9" s="9" t="s">
        <v>69</v>
      </c>
      <c r="G9" s="9" t="s">
        <v>10</v>
      </c>
      <c r="H9" s="9" t="s">
        <v>11</v>
      </c>
      <c r="I9" s="9" t="s">
        <v>12</v>
      </c>
    </row>
    <row r="10" spans="3:9" ht="15">
      <c r="C10" t="s">
        <v>13</v>
      </c>
      <c r="D10" s="8">
        <v>4</v>
      </c>
      <c r="E10" s="6">
        <v>1600</v>
      </c>
      <c r="F10" s="34">
        <v>1465</v>
      </c>
      <c r="G10" s="5">
        <f>E10-F10</f>
        <v>135</v>
      </c>
      <c r="H10" s="5">
        <f>G10*D10</f>
        <v>540</v>
      </c>
      <c r="I10" s="5">
        <f>H10*12</f>
        <v>6480</v>
      </c>
    </row>
    <row r="11" spans="3:9" ht="15">
      <c r="C11" t="s">
        <v>14</v>
      </c>
      <c r="D11" s="8">
        <v>5</v>
      </c>
      <c r="E11" s="6">
        <v>1750</v>
      </c>
      <c r="F11" s="34">
        <f>F10</f>
        <v>1465</v>
      </c>
      <c r="G11" s="5">
        <f aca="true" t="shared" si="0" ref="G11:G12">E11-F11</f>
        <v>285</v>
      </c>
      <c r="H11" s="5">
        <f aca="true" t="shared" si="1" ref="H11:H12">G11*D11</f>
        <v>1425</v>
      </c>
      <c r="I11" s="5">
        <f aca="true" t="shared" si="2" ref="I11:I12">H11*12</f>
        <v>17100</v>
      </c>
    </row>
    <row r="12" spans="3:9" ht="15">
      <c r="C12" t="s">
        <v>15</v>
      </c>
      <c r="D12" s="8">
        <v>1</v>
      </c>
      <c r="E12" s="6">
        <v>2450</v>
      </c>
      <c r="F12" s="34">
        <v>1669</v>
      </c>
      <c r="G12" s="5">
        <f t="shared" si="0"/>
        <v>781</v>
      </c>
      <c r="H12" s="10">
        <f t="shared" si="1"/>
        <v>781</v>
      </c>
      <c r="I12" s="10">
        <f t="shared" si="2"/>
        <v>9372</v>
      </c>
    </row>
    <row r="13" spans="7:9" ht="15">
      <c r="G13" s="11" t="s">
        <v>16</v>
      </c>
      <c r="H13" s="12">
        <f>SUM(H10:H12)</f>
        <v>2746</v>
      </c>
      <c r="I13" s="12">
        <f>SUM(I10:I12)</f>
        <v>32952</v>
      </c>
    </row>
    <row r="14" ht="15">
      <c r="F14" s="38" t="s">
        <v>71</v>
      </c>
    </row>
    <row r="15" spans="3:4" ht="18">
      <c r="C15" s="13" t="s">
        <v>17</v>
      </c>
      <c r="D15" s="13"/>
    </row>
    <row r="18" spans="3:13" ht="18">
      <c r="C18" s="13" t="s">
        <v>59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4:33" ht="15"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26</v>
      </c>
      <c r="J20" s="15" t="s">
        <v>27</v>
      </c>
      <c r="K20" s="15" t="s">
        <v>28</v>
      </c>
      <c r="L20" s="15" t="s">
        <v>29</v>
      </c>
      <c r="M20" s="15" t="s">
        <v>30</v>
      </c>
      <c r="N20" s="15" t="s">
        <v>31</v>
      </c>
      <c r="O20" s="15" t="s">
        <v>32</v>
      </c>
      <c r="P20" s="15" t="s">
        <v>33</v>
      </c>
      <c r="Q20" s="15" t="s">
        <v>34</v>
      </c>
      <c r="R20" s="15" t="s">
        <v>35</v>
      </c>
      <c r="S20" s="15" t="s">
        <v>36</v>
      </c>
      <c r="T20" s="15" t="s">
        <v>37</v>
      </c>
      <c r="U20" s="15" t="s">
        <v>38</v>
      </c>
      <c r="V20" s="15" t="s">
        <v>39</v>
      </c>
      <c r="W20" s="15" t="s">
        <v>40</v>
      </c>
      <c r="X20" s="15" t="s">
        <v>41</v>
      </c>
      <c r="Y20" s="15" t="s">
        <v>42</v>
      </c>
      <c r="Z20" s="15" t="s">
        <v>43</v>
      </c>
      <c r="AA20" s="15" t="s">
        <v>44</v>
      </c>
      <c r="AB20" s="15" t="s">
        <v>45</v>
      </c>
      <c r="AC20" s="15" t="s">
        <v>46</v>
      </c>
      <c r="AD20" s="15" t="s">
        <v>47</v>
      </c>
      <c r="AE20" s="15" t="s">
        <v>48</v>
      </c>
      <c r="AF20" s="15" t="s">
        <v>49</v>
      </c>
      <c r="AG20" s="15" t="s">
        <v>50</v>
      </c>
    </row>
    <row r="21" spans="3:33" ht="15">
      <c r="C21" t="s">
        <v>60</v>
      </c>
      <c r="D21" s="5">
        <f>I13</f>
        <v>32952</v>
      </c>
      <c r="E21" s="5">
        <f>D21*1.02</f>
        <v>33611.04</v>
      </c>
      <c r="F21" s="5">
        <f aca="true" t="shared" si="3" ref="F21:AG21">E21*1.02</f>
        <v>34283.260800000004</v>
      </c>
      <c r="G21" s="5">
        <f t="shared" si="3"/>
        <v>34968.926016000005</v>
      </c>
      <c r="H21" s="5">
        <f t="shared" si="3"/>
        <v>35668.30453632001</v>
      </c>
      <c r="I21" s="5">
        <f t="shared" si="3"/>
        <v>36381.670627046406</v>
      </c>
      <c r="J21" s="5">
        <f t="shared" si="3"/>
        <v>37109.30403958733</v>
      </c>
      <c r="K21" s="5">
        <f t="shared" si="3"/>
        <v>37851.49012037908</v>
      </c>
      <c r="L21" s="5">
        <f t="shared" si="3"/>
        <v>38608.51992278666</v>
      </c>
      <c r="M21" s="5">
        <f t="shared" si="3"/>
        <v>39380.69032124239</v>
      </c>
      <c r="N21" s="5">
        <f t="shared" si="3"/>
        <v>40168.304127667245</v>
      </c>
      <c r="O21" s="5">
        <f t="shared" si="3"/>
        <v>40971.67021022059</v>
      </c>
      <c r="P21" s="5">
        <f t="shared" si="3"/>
        <v>41791.103614425</v>
      </c>
      <c r="Q21" s="5">
        <f t="shared" si="3"/>
        <v>42626.925686713505</v>
      </c>
      <c r="R21" s="5">
        <f t="shared" si="3"/>
        <v>43479.46420044777</v>
      </c>
      <c r="S21" s="5">
        <f t="shared" si="3"/>
        <v>44349.05348445673</v>
      </c>
      <c r="T21" s="5">
        <f t="shared" si="3"/>
        <v>45236.03455414587</v>
      </c>
      <c r="U21" s="5">
        <f t="shared" si="3"/>
        <v>46140.755245228785</v>
      </c>
      <c r="V21" s="5">
        <f t="shared" si="3"/>
        <v>47063.57035013336</v>
      </c>
      <c r="W21" s="5">
        <f t="shared" si="3"/>
        <v>48004.84175713603</v>
      </c>
      <c r="X21" s="5">
        <f t="shared" si="3"/>
        <v>48964.938592278755</v>
      </c>
      <c r="Y21" s="5">
        <f t="shared" si="3"/>
        <v>49944.23736412433</v>
      </c>
      <c r="Z21" s="5">
        <f t="shared" si="3"/>
        <v>50943.12211140682</v>
      </c>
      <c r="AA21" s="5">
        <f t="shared" si="3"/>
        <v>51961.98455363495</v>
      </c>
      <c r="AB21" s="5">
        <f t="shared" si="3"/>
        <v>53001.22424470765</v>
      </c>
      <c r="AC21" s="5">
        <f t="shared" si="3"/>
        <v>54061.2487296018</v>
      </c>
      <c r="AD21" s="5">
        <f t="shared" si="3"/>
        <v>55142.473704193835</v>
      </c>
      <c r="AE21" s="5">
        <f t="shared" si="3"/>
        <v>56245.323178277715</v>
      </c>
      <c r="AF21" s="5">
        <f t="shared" si="3"/>
        <v>57370.22964184327</v>
      </c>
      <c r="AG21" s="5">
        <f t="shared" si="3"/>
        <v>58517.63423468013</v>
      </c>
    </row>
    <row r="22" spans="3:4" ht="15">
      <c r="C22" t="s">
        <v>61</v>
      </c>
      <c r="D22" s="5">
        <f>SUM(D21:M21)</f>
        <v>360815.2063833619</v>
      </c>
    </row>
    <row r="23" spans="3:4" ht="15">
      <c r="C23" t="s">
        <v>62</v>
      </c>
      <c r="D23" s="5">
        <f>SUM(D21:AG21)</f>
        <v>1336799.345968686</v>
      </c>
    </row>
    <row r="24" spans="3:4" ht="15">
      <c r="C24" s="25" t="s">
        <v>58</v>
      </c>
      <c r="D24" s="47">
        <f>NPV(0.05,D21:AG21)</f>
        <v>638051.5290397023</v>
      </c>
    </row>
    <row r="27" spans="3:13" ht="18">
      <c r="C27" s="32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4" ht="15">
      <c r="C28" t="s">
        <v>19</v>
      </c>
      <c r="D28" s="14">
        <v>500000</v>
      </c>
    </row>
    <row r="29" spans="3:4" ht="15">
      <c r="C29" t="s">
        <v>20</v>
      </c>
      <c r="D29" s="6">
        <v>23500000</v>
      </c>
    </row>
    <row r="31" spans="4:33" ht="15"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26</v>
      </c>
      <c r="J31" s="15" t="s">
        <v>27</v>
      </c>
      <c r="K31" s="15" t="s">
        <v>28</v>
      </c>
      <c r="L31" s="15" t="s">
        <v>29</v>
      </c>
      <c r="M31" s="15" t="s">
        <v>30</v>
      </c>
      <c r="N31" s="15" t="s">
        <v>31</v>
      </c>
      <c r="O31" s="15" t="s">
        <v>32</v>
      </c>
      <c r="P31" s="15" t="s">
        <v>33</v>
      </c>
      <c r="Q31" s="15" t="s">
        <v>34</v>
      </c>
      <c r="R31" s="15" t="s">
        <v>35</v>
      </c>
      <c r="S31" s="15" t="s">
        <v>36</v>
      </c>
      <c r="T31" s="15" t="s">
        <v>37</v>
      </c>
      <c r="U31" s="15" t="s">
        <v>38</v>
      </c>
      <c r="V31" s="15" t="s">
        <v>39</v>
      </c>
      <c r="W31" s="15" t="s">
        <v>40</v>
      </c>
      <c r="X31" s="15" t="s">
        <v>41</v>
      </c>
      <c r="Y31" s="15" t="s">
        <v>42</v>
      </c>
      <c r="Z31" s="15" t="s">
        <v>43</v>
      </c>
      <c r="AA31" s="15" t="s">
        <v>44</v>
      </c>
      <c r="AB31" s="15" t="s">
        <v>45</v>
      </c>
      <c r="AC31" s="15" t="s">
        <v>46</v>
      </c>
      <c r="AD31" s="15" t="s">
        <v>47</v>
      </c>
      <c r="AE31" s="15" t="s">
        <v>48</v>
      </c>
      <c r="AF31" s="15" t="s">
        <v>49</v>
      </c>
      <c r="AG31" s="15" t="s">
        <v>50</v>
      </c>
    </row>
    <row r="32" spans="3:13" ht="15">
      <c r="C32" s="16" t="s">
        <v>51</v>
      </c>
      <c r="D32" s="14">
        <f>D28</f>
        <v>500000</v>
      </c>
      <c r="E32" s="14">
        <f>D32*1.01</f>
        <v>505000</v>
      </c>
      <c r="F32" s="14">
        <f aca="true" t="shared" si="4" ref="F32:M32">E32*1.01</f>
        <v>510050</v>
      </c>
      <c r="G32" s="14">
        <f t="shared" si="4"/>
        <v>515150.5</v>
      </c>
      <c r="H32" s="14">
        <f t="shared" si="4"/>
        <v>520302.005</v>
      </c>
      <c r="I32" s="14">
        <f t="shared" si="4"/>
        <v>525505.02505</v>
      </c>
      <c r="J32" s="14">
        <f t="shared" si="4"/>
        <v>530760.0753005</v>
      </c>
      <c r="K32" s="14">
        <f t="shared" si="4"/>
        <v>536067.676053505</v>
      </c>
      <c r="L32" s="14">
        <f t="shared" si="4"/>
        <v>541428.3528140401</v>
      </c>
      <c r="M32" s="14">
        <f t="shared" si="4"/>
        <v>546842.6363421805</v>
      </c>
    </row>
    <row r="33" spans="3:13" ht="15">
      <c r="C33" s="16" t="s">
        <v>52</v>
      </c>
      <c r="D33" s="17">
        <v>2.36</v>
      </c>
      <c r="E33" s="18">
        <f>D33</f>
        <v>2.36</v>
      </c>
      <c r="F33" s="18">
        <f aca="true" t="shared" si="5" ref="F33:M33">E33</f>
        <v>2.36</v>
      </c>
      <c r="G33" s="18">
        <f t="shared" si="5"/>
        <v>2.36</v>
      </c>
      <c r="H33" s="18">
        <f t="shared" si="5"/>
        <v>2.36</v>
      </c>
      <c r="I33" s="18">
        <f t="shared" si="5"/>
        <v>2.36</v>
      </c>
      <c r="J33" s="18">
        <f t="shared" si="5"/>
        <v>2.36</v>
      </c>
      <c r="K33" s="18">
        <f t="shared" si="5"/>
        <v>2.36</v>
      </c>
      <c r="L33" s="18">
        <f t="shared" si="5"/>
        <v>2.36</v>
      </c>
      <c r="M33" s="18">
        <f t="shared" si="5"/>
        <v>2.36</v>
      </c>
    </row>
    <row r="34" spans="3:13" ht="15">
      <c r="C34" t="s">
        <v>53</v>
      </c>
      <c r="D34" s="14">
        <f>D33*D32/100</f>
        <v>11800</v>
      </c>
      <c r="E34" s="14">
        <f aca="true" t="shared" si="6" ref="E34:M34">E33*E32/100</f>
        <v>11918</v>
      </c>
      <c r="F34" s="14">
        <f t="shared" si="6"/>
        <v>12037.18</v>
      </c>
      <c r="G34" s="14">
        <f t="shared" si="6"/>
        <v>12157.5518</v>
      </c>
      <c r="H34" s="14">
        <f t="shared" si="6"/>
        <v>12279.127317999999</v>
      </c>
      <c r="I34" s="14">
        <f t="shared" si="6"/>
        <v>12401.918591180001</v>
      </c>
      <c r="J34" s="14">
        <f t="shared" si="6"/>
        <v>12525.9377770918</v>
      </c>
      <c r="K34" s="14">
        <f t="shared" si="6"/>
        <v>12651.197154862717</v>
      </c>
      <c r="L34" s="14">
        <f t="shared" si="6"/>
        <v>12777.709126411346</v>
      </c>
      <c r="M34" s="14">
        <f t="shared" si="6"/>
        <v>12905.486217675461</v>
      </c>
    </row>
    <row r="35" spans="4:13" ht="15"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3:13" ht="15">
      <c r="C36" s="16" t="s">
        <v>54</v>
      </c>
      <c r="D36" s="19">
        <f>D29</f>
        <v>23500000</v>
      </c>
      <c r="E36" s="20">
        <f>D36*1.02</f>
        <v>23970000</v>
      </c>
      <c r="F36" s="20">
        <f aca="true" t="shared" si="7" ref="F36:M36">E36*1.02</f>
        <v>24449400</v>
      </c>
      <c r="G36" s="20">
        <f t="shared" si="7"/>
        <v>24938388</v>
      </c>
      <c r="H36" s="20">
        <f t="shared" si="7"/>
        <v>25437155.76</v>
      </c>
      <c r="I36" s="20">
        <f t="shared" si="7"/>
        <v>25945898.875200003</v>
      </c>
      <c r="J36" s="20">
        <f t="shared" si="7"/>
        <v>26464816.852704003</v>
      </c>
      <c r="K36" s="20">
        <f t="shared" si="7"/>
        <v>26994113.189758085</v>
      </c>
      <c r="L36" s="20">
        <f t="shared" si="7"/>
        <v>27533995.45355325</v>
      </c>
      <c r="M36" s="20">
        <f t="shared" si="7"/>
        <v>28084675.362624314</v>
      </c>
    </row>
    <row r="37" spans="3:13" ht="15">
      <c r="C37" s="16" t="s">
        <v>55</v>
      </c>
      <c r="D37" s="18">
        <f>D33</f>
        <v>2.36</v>
      </c>
      <c r="E37" s="18">
        <f aca="true" t="shared" si="8" ref="E37:M37">E33</f>
        <v>2.36</v>
      </c>
      <c r="F37" s="18">
        <f t="shared" si="8"/>
        <v>2.36</v>
      </c>
      <c r="G37" s="18">
        <f t="shared" si="8"/>
        <v>2.36</v>
      </c>
      <c r="H37" s="18">
        <f t="shared" si="8"/>
        <v>2.36</v>
      </c>
      <c r="I37" s="18">
        <f t="shared" si="8"/>
        <v>2.36</v>
      </c>
      <c r="J37" s="18">
        <f t="shared" si="8"/>
        <v>2.36</v>
      </c>
      <c r="K37" s="18">
        <f t="shared" si="8"/>
        <v>2.36</v>
      </c>
      <c r="L37" s="18">
        <f t="shared" si="8"/>
        <v>2.36</v>
      </c>
      <c r="M37" s="18">
        <f t="shared" si="8"/>
        <v>2.36</v>
      </c>
    </row>
    <row r="38" spans="3:13" ht="15">
      <c r="C38" t="s">
        <v>53</v>
      </c>
      <c r="D38" s="14">
        <f>D37*D36/100</f>
        <v>554600</v>
      </c>
      <c r="E38" s="14">
        <f aca="true" t="shared" si="9" ref="E38:M38">E37*E36/100</f>
        <v>565692</v>
      </c>
      <c r="F38" s="14">
        <f t="shared" si="9"/>
        <v>577005.84</v>
      </c>
      <c r="G38" s="14">
        <f t="shared" si="9"/>
        <v>588545.9568</v>
      </c>
      <c r="H38" s="14">
        <f t="shared" si="9"/>
        <v>600316.875936</v>
      </c>
      <c r="I38" s="14">
        <f t="shared" si="9"/>
        <v>612323.2134547201</v>
      </c>
      <c r="J38" s="14">
        <f t="shared" si="9"/>
        <v>624569.6777238145</v>
      </c>
      <c r="K38" s="14">
        <f t="shared" si="9"/>
        <v>637061.0712782907</v>
      </c>
      <c r="L38" s="14">
        <f t="shared" si="9"/>
        <v>649802.2927038566</v>
      </c>
      <c r="M38" s="14">
        <f t="shared" si="9"/>
        <v>662798.3385579338</v>
      </c>
    </row>
    <row r="39" spans="3:13" ht="15">
      <c r="C39" s="21" t="s">
        <v>56</v>
      </c>
      <c r="D39" s="22">
        <v>0.15</v>
      </c>
      <c r="E39" s="22">
        <v>0.15</v>
      </c>
      <c r="F39" s="22">
        <v>0.15</v>
      </c>
      <c r="G39" s="22">
        <v>0.15</v>
      </c>
      <c r="H39" s="22">
        <v>0.15</v>
      </c>
      <c r="I39" s="22">
        <v>0.15</v>
      </c>
      <c r="J39" s="22">
        <v>0.15</v>
      </c>
      <c r="K39" s="22">
        <v>0.15</v>
      </c>
      <c r="L39" s="22">
        <v>0.15</v>
      </c>
      <c r="M39" s="22">
        <v>0.15</v>
      </c>
    </row>
    <row r="40" spans="3:13" ht="15"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3:13" ht="15">
      <c r="C41" t="s">
        <v>56</v>
      </c>
      <c r="D41" s="14">
        <f>D39*D38</f>
        <v>83190</v>
      </c>
      <c r="E41" s="14">
        <f aca="true" t="shared" si="10" ref="E41:M41">E39*E38</f>
        <v>84853.8</v>
      </c>
      <c r="F41" s="14">
        <f t="shared" si="10"/>
        <v>86550.87599999999</v>
      </c>
      <c r="G41" s="14">
        <f t="shared" si="10"/>
        <v>88281.89352</v>
      </c>
      <c r="H41" s="14">
        <f t="shared" si="10"/>
        <v>90047.5313904</v>
      </c>
      <c r="I41" s="14">
        <f t="shared" si="10"/>
        <v>91848.48201820801</v>
      </c>
      <c r="J41" s="14">
        <f t="shared" si="10"/>
        <v>93685.45165857217</v>
      </c>
      <c r="K41" s="14">
        <f t="shared" si="10"/>
        <v>95559.1606917436</v>
      </c>
      <c r="L41" s="14">
        <f t="shared" si="10"/>
        <v>97470.34390557848</v>
      </c>
      <c r="M41" s="14">
        <f t="shared" si="10"/>
        <v>99419.75078369006</v>
      </c>
    </row>
    <row r="42" spans="3:4" ht="15">
      <c r="C42" t="s">
        <v>57</v>
      </c>
      <c r="D42" s="14">
        <f>SUM(D41:M41)</f>
        <v>910907.2899681922</v>
      </c>
    </row>
    <row r="43" spans="3:4" ht="15">
      <c r="C43" s="25" t="s">
        <v>58</v>
      </c>
      <c r="D43" s="26">
        <f>NPV(0.05,D41:M41)</f>
        <v>697806.5092258949</v>
      </c>
    </row>
    <row r="45" spans="3:4" ht="18">
      <c r="C45" s="13" t="s">
        <v>63</v>
      </c>
      <c r="D45" s="27"/>
    </row>
    <row r="47" spans="4:13" ht="15">
      <c r="D47" t="s">
        <v>31</v>
      </c>
      <c r="E47" t="s">
        <v>32</v>
      </c>
      <c r="F47" t="s">
        <v>33</v>
      </c>
      <c r="G47" t="s">
        <v>34</v>
      </c>
      <c r="H47" t="s">
        <v>35</v>
      </c>
      <c r="I47" t="s">
        <v>36</v>
      </c>
      <c r="J47" t="s">
        <v>37</v>
      </c>
      <c r="K47" t="s">
        <v>38</v>
      </c>
      <c r="L47" t="s">
        <v>39</v>
      </c>
      <c r="M47" t="s">
        <v>40</v>
      </c>
    </row>
    <row r="48" ht="15">
      <c r="C48" t="s">
        <v>64</v>
      </c>
    </row>
    <row r="49" ht="15">
      <c r="C49" s="5">
        <f>H4</f>
        <v>659040</v>
      </c>
    </row>
    <row r="50" spans="3:13" ht="15">
      <c r="C50" t="s">
        <v>65</v>
      </c>
      <c r="D50" s="28">
        <f>C49*2.36/100</f>
        <v>15553.344</v>
      </c>
      <c r="E50" s="28">
        <f>D50*1.02</f>
        <v>15864.41088</v>
      </c>
      <c r="F50" s="28">
        <f aca="true" t="shared" si="11" ref="F50:M50">E50*1.02</f>
        <v>16181.6990976</v>
      </c>
      <c r="G50" s="28">
        <f t="shared" si="11"/>
        <v>16505.333079552</v>
      </c>
      <c r="H50" s="28">
        <f t="shared" si="11"/>
        <v>16835.43974114304</v>
      </c>
      <c r="I50" s="28">
        <f t="shared" si="11"/>
        <v>17172.148535965902</v>
      </c>
      <c r="J50" s="28">
        <f t="shared" si="11"/>
        <v>17515.59150668522</v>
      </c>
      <c r="K50" s="28">
        <f t="shared" si="11"/>
        <v>17865.903336818927</v>
      </c>
      <c r="L50" s="28">
        <f t="shared" si="11"/>
        <v>18223.221403555304</v>
      </c>
      <c r="M50" s="28">
        <f t="shared" si="11"/>
        <v>18587.68583162641</v>
      </c>
    </row>
    <row r="53" spans="3:13" ht="15">
      <c r="C53" t="s">
        <v>66</v>
      </c>
      <c r="D53" s="5">
        <f aca="true" t="shared" si="12" ref="D53:M53">N21</f>
        <v>40168.304127667245</v>
      </c>
      <c r="E53" s="5">
        <f t="shared" si="12"/>
        <v>40971.67021022059</v>
      </c>
      <c r="F53" s="5">
        <f t="shared" si="12"/>
        <v>41791.103614425</v>
      </c>
      <c r="G53" s="5">
        <f t="shared" si="12"/>
        <v>42626.925686713505</v>
      </c>
      <c r="H53" s="5">
        <f t="shared" si="12"/>
        <v>43479.46420044777</v>
      </c>
      <c r="I53" s="5">
        <f t="shared" si="12"/>
        <v>44349.05348445673</v>
      </c>
      <c r="J53" s="5">
        <f t="shared" si="12"/>
        <v>45236.03455414587</v>
      </c>
      <c r="K53" s="5">
        <f t="shared" si="12"/>
        <v>46140.755245228785</v>
      </c>
      <c r="L53" s="5">
        <f t="shared" si="12"/>
        <v>47063.57035013336</v>
      </c>
      <c r="M53" s="5">
        <f t="shared" si="12"/>
        <v>48004.84175713603</v>
      </c>
    </row>
    <row r="54" ht="15" thickBot="1"/>
    <row r="55" spans="3:13" ht="15" thickBot="1">
      <c r="C55" s="29" t="s">
        <v>67</v>
      </c>
      <c r="D55" s="30">
        <f>D53-D50</f>
        <v>24614.960127667247</v>
      </c>
      <c r="E55" s="30">
        <f aca="true" t="shared" si="13" ref="E55:M55">E53-E50</f>
        <v>25107.25933022059</v>
      </c>
      <c r="F55" s="30">
        <f t="shared" si="13"/>
        <v>25609.404516825</v>
      </c>
      <c r="G55" s="30">
        <f t="shared" si="13"/>
        <v>26121.592607161503</v>
      </c>
      <c r="H55" s="30">
        <f t="shared" si="13"/>
        <v>26644.024459304732</v>
      </c>
      <c r="I55" s="30">
        <f t="shared" si="13"/>
        <v>27176.90494849083</v>
      </c>
      <c r="J55" s="30">
        <f t="shared" si="13"/>
        <v>27720.443047460645</v>
      </c>
      <c r="K55" s="30">
        <f t="shared" si="13"/>
        <v>28274.85190840986</v>
      </c>
      <c r="L55" s="30">
        <f t="shared" si="13"/>
        <v>28840.34894657806</v>
      </c>
      <c r="M55" s="31">
        <f t="shared" si="13"/>
        <v>29417.15592550962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B8DC-CCFC-4075-8724-F55E412C1383}">
  <dimension ref="C2:AG18"/>
  <sheetViews>
    <sheetView workbookViewId="0" topLeftCell="A1">
      <selection activeCell="G24" sqref="G24"/>
    </sheetView>
  </sheetViews>
  <sheetFormatPr defaultColWidth="9.140625" defaultRowHeight="15"/>
  <cols>
    <col min="3" max="3" width="16.7109375" style="41" customWidth="1"/>
    <col min="4" max="4" width="13.140625" style="43" bestFit="1" customWidth="1"/>
    <col min="5" max="5" width="11.28125" style="0" bestFit="1" customWidth="1"/>
    <col min="6" max="15" width="10.140625" style="0" bestFit="1" customWidth="1"/>
    <col min="16" max="33" width="11.140625" style="0" bestFit="1" customWidth="1"/>
  </cols>
  <sheetData>
    <row r="2" spans="3:4" ht="15">
      <c r="C2" s="39" t="s">
        <v>77</v>
      </c>
      <c r="D2" s="40">
        <f>'60% AMI'!H5</f>
        <v>697806.5092258949</v>
      </c>
    </row>
    <row r="3" spans="3:33" s="36" customFormat="1" ht="15">
      <c r="C3" s="44"/>
      <c r="D3" s="45">
        <v>1</v>
      </c>
      <c r="E3" s="46">
        <f>D3+1</f>
        <v>2</v>
      </c>
      <c r="F3" s="46">
        <f aca="true" t="shared" si="0" ref="F3:AF3">E3+1</f>
        <v>3</v>
      </c>
      <c r="G3" s="46">
        <f t="shared" si="0"/>
        <v>4</v>
      </c>
      <c r="H3" s="46">
        <f t="shared" si="0"/>
        <v>5</v>
      </c>
      <c r="I3" s="46">
        <f t="shared" si="0"/>
        <v>6</v>
      </c>
      <c r="J3" s="46">
        <f t="shared" si="0"/>
        <v>7</v>
      </c>
      <c r="K3" s="46">
        <f t="shared" si="0"/>
        <v>8</v>
      </c>
      <c r="L3" s="46">
        <f t="shared" si="0"/>
        <v>9</v>
      </c>
      <c r="M3" s="46">
        <f t="shared" si="0"/>
        <v>10</v>
      </c>
      <c r="N3" s="46">
        <f t="shared" si="0"/>
        <v>11</v>
      </c>
      <c r="O3" s="46">
        <f t="shared" si="0"/>
        <v>12</v>
      </c>
      <c r="P3" s="46">
        <f t="shared" si="0"/>
        <v>13</v>
      </c>
      <c r="Q3" s="46">
        <f t="shared" si="0"/>
        <v>14</v>
      </c>
      <c r="R3" s="46">
        <f t="shared" si="0"/>
        <v>15</v>
      </c>
      <c r="S3" s="46">
        <f t="shared" si="0"/>
        <v>16</v>
      </c>
      <c r="T3" s="46">
        <f t="shared" si="0"/>
        <v>17</v>
      </c>
      <c r="U3" s="46">
        <f t="shared" si="0"/>
        <v>18</v>
      </c>
      <c r="V3" s="46">
        <f t="shared" si="0"/>
        <v>19</v>
      </c>
      <c r="W3" s="46">
        <f t="shared" si="0"/>
        <v>20</v>
      </c>
      <c r="X3" s="46">
        <f t="shared" si="0"/>
        <v>21</v>
      </c>
      <c r="Y3" s="46">
        <f t="shared" si="0"/>
        <v>22</v>
      </c>
      <c r="Z3" s="46">
        <f t="shared" si="0"/>
        <v>23</v>
      </c>
      <c r="AA3" s="46">
        <f t="shared" si="0"/>
        <v>24</v>
      </c>
      <c r="AB3" s="46">
        <f t="shared" si="0"/>
        <v>25</v>
      </c>
      <c r="AC3" s="46">
        <f>AB3+1</f>
        <v>26</v>
      </c>
      <c r="AD3" s="46">
        <f t="shared" si="0"/>
        <v>27</v>
      </c>
      <c r="AE3" s="46">
        <f t="shared" si="0"/>
        <v>28</v>
      </c>
      <c r="AF3" s="46">
        <f t="shared" si="0"/>
        <v>29</v>
      </c>
      <c r="AG3" s="46">
        <f>AF3+1</f>
        <v>30</v>
      </c>
    </row>
    <row r="4" spans="3:33" ht="15">
      <c r="C4" s="41" t="s">
        <v>74</v>
      </c>
      <c r="D4" s="42">
        <f>'60% AMI'!I13</f>
        <v>75096</v>
      </c>
      <c r="E4" s="5">
        <f>D4*1.025</f>
        <v>76973.4</v>
      </c>
      <c r="F4" s="5">
        <f aca="true" t="shared" si="1" ref="F4:AG4">E4*1.025</f>
        <v>78897.73499999999</v>
      </c>
      <c r="G4" s="5">
        <f t="shared" si="1"/>
        <v>80870.17837499997</v>
      </c>
      <c r="H4" s="5">
        <f t="shared" si="1"/>
        <v>82891.93283437497</v>
      </c>
      <c r="I4" s="5">
        <f t="shared" si="1"/>
        <v>84964.23115523433</v>
      </c>
      <c r="J4" s="5">
        <f t="shared" si="1"/>
        <v>87088.33693411518</v>
      </c>
      <c r="K4" s="5">
        <f t="shared" si="1"/>
        <v>89265.54535746806</v>
      </c>
      <c r="L4" s="5">
        <f t="shared" si="1"/>
        <v>91497.18399140475</v>
      </c>
      <c r="M4" s="5">
        <f t="shared" si="1"/>
        <v>93784.61359118986</v>
      </c>
      <c r="N4" s="5">
        <f t="shared" si="1"/>
        <v>96129.22893096959</v>
      </c>
      <c r="O4" s="5">
        <f t="shared" si="1"/>
        <v>98532.45965424382</v>
      </c>
      <c r="P4" s="5">
        <f t="shared" si="1"/>
        <v>100995.77114559991</v>
      </c>
      <c r="Q4" s="5">
        <f t="shared" si="1"/>
        <v>103520.6654242399</v>
      </c>
      <c r="R4" s="5">
        <f t="shared" si="1"/>
        <v>106108.68205984589</v>
      </c>
      <c r="S4" s="5">
        <f t="shared" si="1"/>
        <v>108761.39911134202</v>
      </c>
      <c r="T4" s="5">
        <f t="shared" si="1"/>
        <v>111480.43408912556</v>
      </c>
      <c r="U4" s="5">
        <f t="shared" si="1"/>
        <v>114267.44494135368</v>
      </c>
      <c r="V4" s="5">
        <f t="shared" si="1"/>
        <v>117124.13106488751</v>
      </c>
      <c r="W4" s="5">
        <f t="shared" si="1"/>
        <v>120052.23434150968</v>
      </c>
      <c r="X4" s="5">
        <f t="shared" si="1"/>
        <v>123053.54020004741</v>
      </c>
      <c r="Y4" s="5">
        <f t="shared" si="1"/>
        <v>126129.87870504858</v>
      </c>
      <c r="Z4" s="5">
        <f t="shared" si="1"/>
        <v>129283.12567267478</v>
      </c>
      <c r="AA4" s="5">
        <f t="shared" si="1"/>
        <v>132515.20381449163</v>
      </c>
      <c r="AB4" s="5">
        <f t="shared" si="1"/>
        <v>135828.0839098539</v>
      </c>
      <c r="AC4" s="5">
        <f t="shared" si="1"/>
        <v>139223.78600760025</v>
      </c>
      <c r="AD4" s="5">
        <f t="shared" si="1"/>
        <v>142704.38065779026</v>
      </c>
      <c r="AE4" s="5">
        <f t="shared" si="1"/>
        <v>146271.990174235</v>
      </c>
      <c r="AF4" s="5">
        <f t="shared" si="1"/>
        <v>149928.78992859085</v>
      </c>
      <c r="AG4" s="5">
        <f t="shared" si="1"/>
        <v>153677.0096768056</v>
      </c>
    </row>
    <row r="5" spans="3:33" ht="15">
      <c r="C5" s="41" t="s">
        <v>6</v>
      </c>
      <c r="D5" s="42">
        <f>SUM(D4:AG4)</f>
        <v>3296917.396749043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3:4" ht="15">
      <c r="C6" s="39" t="s">
        <v>58</v>
      </c>
      <c r="D6" s="40">
        <f>NPV(0.05,E4:AG4)</f>
        <v>1548190.1703877093</v>
      </c>
    </row>
    <row r="7" spans="3:33" ht="15">
      <c r="C7" s="41" t="s">
        <v>72</v>
      </c>
      <c r="D7" s="42">
        <f>D4</f>
        <v>75096</v>
      </c>
      <c r="E7" s="6">
        <f>E4</f>
        <v>76973.4</v>
      </c>
      <c r="F7" s="6">
        <f>F4</f>
        <v>78897.73499999999</v>
      </c>
      <c r="G7" s="6">
        <f>G4</f>
        <v>80870.17837499997</v>
      </c>
      <c r="H7" s="6">
        <f>H4</f>
        <v>82891.93283437497</v>
      </c>
      <c r="I7" s="6">
        <f>I4</f>
        <v>84964.23115523433</v>
      </c>
      <c r="J7" s="6">
        <f>J4</f>
        <v>87088.33693411518</v>
      </c>
      <c r="K7" s="6">
        <f>K4</f>
        <v>89265.54535746806</v>
      </c>
      <c r="L7" s="6">
        <f>L4</f>
        <v>91497.18399140475</v>
      </c>
      <c r="M7" s="6">
        <f>M4</f>
        <v>93784.61359118986</v>
      </c>
      <c r="N7" s="6">
        <f>N4</f>
        <v>96129.22893096959</v>
      </c>
      <c r="O7" s="6">
        <f>O4</f>
        <v>98532.45965424382</v>
      </c>
      <c r="P7" s="6">
        <f>P4</f>
        <v>100995.77114559991</v>
      </c>
      <c r="Q7" s="6">
        <f>Q4</f>
        <v>103520.6654242399</v>
      </c>
      <c r="R7" s="6">
        <f>R4</f>
        <v>106108.68205984589</v>
      </c>
      <c r="S7" s="6">
        <f>S4</f>
        <v>108761.39911134202</v>
      </c>
      <c r="T7" s="6">
        <f>T4</f>
        <v>111480.43408912556</v>
      </c>
      <c r="U7" s="6">
        <f>U4</f>
        <v>114267.44494135368</v>
      </c>
      <c r="V7" s="6">
        <f>V4</f>
        <v>117124.13106488751</v>
      </c>
      <c r="W7" s="6">
        <f>W4</f>
        <v>120052.23434150968</v>
      </c>
      <c r="X7" s="6">
        <f>X4</f>
        <v>123053.54020004741</v>
      </c>
      <c r="Y7" s="6">
        <f>Y4</f>
        <v>126129.87870504858</v>
      </c>
      <c r="Z7" s="6">
        <f>Z4</f>
        <v>129283.12567267478</v>
      </c>
      <c r="AA7" s="6">
        <f>AA4</f>
        <v>132515.20381449163</v>
      </c>
      <c r="AB7" s="6">
        <f>AB4</f>
        <v>135828.0839098539</v>
      </c>
      <c r="AC7" s="6"/>
      <c r="AD7" s="6"/>
      <c r="AE7" s="6"/>
      <c r="AF7" s="6"/>
      <c r="AG7" s="6"/>
    </row>
    <row r="8" spans="3:4" ht="15">
      <c r="C8" s="41" t="s">
        <v>6</v>
      </c>
      <c r="D8" s="42">
        <f>SUM(D7:AG7)</f>
        <v>2565111.440304021</v>
      </c>
    </row>
    <row r="9" spans="3:4" ht="15">
      <c r="C9" s="39" t="s">
        <v>58</v>
      </c>
      <c r="D9" s="40">
        <f>NPV(0.05,E7:AG7)</f>
        <v>1352182.8644393734</v>
      </c>
    </row>
    <row r="10" spans="3:33" ht="15">
      <c r="C10" s="41" t="s">
        <v>73</v>
      </c>
      <c r="D10" s="42">
        <f>D7</f>
        <v>75096</v>
      </c>
      <c r="E10" s="6">
        <f>E7</f>
        <v>76973.4</v>
      </c>
      <c r="F10" s="6">
        <f>F7</f>
        <v>78897.73499999999</v>
      </c>
      <c r="G10" s="6">
        <f>G7</f>
        <v>80870.17837499997</v>
      </c>
      <c r="H10" s="6">
        <f>H7</f>
        <v>82891.93283437497</v>
      </c>
      <c r="I10" s="6">
        <f>I7</f>
        <v>84964.23115523433</v>
      </c>
      <c r="J10" s="6">
        <f>J7</f>
        <v>87088.33693411518</v>
      </c>
      <c r="K10" s="6">
        <f>K7</f>
        <v>89265.54535746806</v>
      </c>
      <c r="L10" s="6">
        <f>L7</f>
        <v>91497.18399140475</v>
      </c>
      <c r="M10" s="6">
        <f>M7</f>
        <v>93784.61359118986</v>
      </c>
      <c r="N10" s="6">
        <f>N7</f>
        <v>96129.22893096959</v>
      </c>
      <c r="O10" s="6">
        <f>O7</f>
        <v>98532.45965424382</v>
      </c>
      <c r="P10" s="6">
        <f>P7</f>
        <v>100995.77114559991</v>
      </c>
      <c r="Q10" s="6">
        <f>Q7</f>
        <v>103520.6654242399</v>
      </c>
      <c r="R10" s="6">
        <f>R7</f>
        <v>106108.68205984589</v>
      </c>
      <c r="S10" s="6">
        <f>S7</f>
        <v>108761.39911134202</v>
      </c>
      <c r="T10" s="6">
        <f>T7</f>
        <v>111480.43408912556</v>
      </c>
      <c r="U10" s="6">
        <f>U7</f>
        <v>114267.44494135368</v>
      </c>
      <c r="V10" s="6">
        <f>V7</f>
        <v>117124.13106488751</v>
      </c>
      <c r="W10" s="6">
        <f>W7</f>
        <v>120052.23434150968</v>
      </c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3:4" ht="15">
      <c r="C11" s="41" t="s">
        <v>6</v>
      </c>
      <c r="D11" s="42">
        <f>SUM(D10:AG10)</f>
        <v>1918301.6080019046</v>
      </c>
    </row>
    <row r="12" spans="3:4" ht="15">
      <c r="C12" s="39" t="s">
        <v>58</v>
      </c>
      <c r="D12" s="40">
        <f>NPV(0.05,E10:AG10)</f>
        <v>1131077.4244691038</v>
      </c>
    </row>
    <row r="13" spans="3:33" ht="15">
      <c r="C13" s="41" t="s">
        <v>75</v>
      </c>
      <c r="D13" s="42">
        <f>D10</f>
        <v>75096</v>
      </c>
      <c r="E13" s="6">
        <f>E10</f>
        <v>76973.4</v>
      </c>
      <c r="F13" s="6">
        <f>F10</f>
        <v>78897.73499999999</v>
      </c>
      <c r="G13" s="6">
        <f>G10</f>
        <v>80870.17837499997</v>
      </c>
      <c r="H13" s="6">
        <f>H10</f>
        <v>82891.93283437497</v>
      </c>
      <c r="I13" s="6">
        <f>I10</f>
        <v>84964.23115523433</v>
      </c>
      <c r="J13" s="6">
        <f>J10</f>
        <v>87088.33693411518</v>
      </c>
      <c r="K13" s="6">
        <f>K10</f>
        <v>89265.54535746806</v>
      </c>
      <c r="L13" s="6">
        <f>L10</f>
        <v>91497.18399140475</v>
      </c>
      <c r="M13" s="6">
        <f>M10</f>
        <v>93784.61359118986</v>
      </c>
      <c r="N13" s="6">
        <f>N10</f>
        <v>96129.22893096959</v>
      </c>
      <c r="O13" s="6">
        <f>O10</f>
        <v>98532.45965424382</v>
      </c>
      <c r="P13" s="6">
        <f>P10</f>
        <v>100995.77114559991</v>
      </c>
      <c r="Q13" s="6">
        <f>Q10</f>
        <v>103520.6654242399</v>
      </c>
      <c r="R13" s="6">
        <f>R10</f>
        <v>106108.68205984589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3:4" ht="15">
      <c r="C14" s="41" t="s">
        <v>6</v>
      </c>
      <c r="D14" s="42">
        <f>SUM(D13:AG13)</f>
        <v>1346615.964453686</v>
      </c>
    </row>
    <row r="15" spans="3:4" ht="15">
      <c r="C15" s="39" t="s">
        <v>58</v>
      </c>
      <c r="D15" s="40">
        <f>NPV(0.05,E13:AG13)</f>
        <v>881660.1114362297</v>
      </c>
    </row>
    <row r="16" spans="3:17" ht="15">
      <c r="C16" s="41" t="s">
        <v>76</v>
      </c>
      <c r="D16" s="42">
        <f>D13</f>
        <v>75096</v>
      </c>
      <c r="E16" s="6">
        <f>E13</f>
        <v>76973.4</v>
      </c>
      <c r="F16" s="6">
        <f>F13</f>
        <v>78897.73499999999</v>
      </c>
      <c r="G16" s="6">
        <f>G13</f>
        <v>80870.17837499997</v>
      </c>
      <c r="H16" s="6">
        <f>H13</f>
        <v>82891.93283437497</v>
      </c>
      <c r="I16" s="6">
        <f>I13</f>
        <v>84964.23115523433</v>
      </c>
      <c r="J16" s="6">
        <f>J13</f>
        <v>87088.33693411518</v>
      </c>
      <c r="K16" s="6">
        <f>K13</f>
        <v>89265.54535746806</v>
      </c>
      <c r="L16" s="6">
        <f>L13</f>
        <v>91497.18399140475</v>
      </c>
      <c r="M16" s="6">
        <f>M13</f>
        <v>93784.61359118986</v>
      </c>
      <c r="N16" s="6">
        <f>N13</f>
        <v>96129.22893096959</v>
      </c>
      <c r="O16" s="6">
        <f>O13</f>
        <v>98532.45965424382</v>
      </c>
      <c r="P16" s="6"/>
      <c r="Q16" s="6"/>
    </row>
    <row r="17" spans="3:4" ht="15">
      <c r="C17" s="41" t="s">
        <v>6</v>
      </c>
      <c r="D17" s="42">
        <f>SUM(D16:AG16)</f>
        <v>1035990.8458240004</v>
      </c>
    </row>
    <row r="18" spans="3:4" ht="15">
      <c r="C18" s="39" t="s">
        <v>58</v>
      </c>
      <c r="D18" s="40">
        <f>NPV(0.05,E16:AG16)</f>
        <v>716930.5730341611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Schmidt</dc:creator>
  <cp:keywords/>
  <dc:description/>
  <cp:lastModifiedBy>Doug Schmidt</cp:lastModifiedBy>
  <cp:lastPrinted>2022-12-02T16:15:46Z</cp:lastPrinted>
  <dcterms:created xsi:type="dcterms:W3CDTF">2022-12-02T16:14:24Z</dcterms:created>
  <dcterms:modified xsi:type="dcterms:W3CDTF">2023-02-03T16:39:47Z</dcterms:modified>
  <cp:category/>
  <cp:version/>
  <cp:contentType/>
  <cp:contentStatus/>
</cp:coreProperties>
</file>